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Proj\D1841 Phase 1B\Bill for Contractors\"/>
    </mc:Choice>
  </mc:AlternateContent>
  <xr:revisionPtr revIDLastSave="0" documentId="13_ncr:1_{9EF0A000-7D37-4CBC-B7BE-5477E61C4782}" xr6:coauthVersionLast="47" xr6:coauthVersionMax="47" xr10:uidLastSave="{00000000-0000-0000-0000-000000000000}"/>
  <bookViews>
    <workbookView xWindow="-110" yWindow="-110" windowWidth="25820" windowHeight="15500" tabRatio="876" firstSheet="1" activeTab="1" xr2:uid="{00000000-000D-0000-FFFF-FFFF00000000}"/>
  </bookViews>
  <sheets>
    <sheet name="Home" sheetId="91" state="hidden" r:id="rId1"/>
    <sheet name="1.2" sheetId="39" r:id="rId2"/>
    <sheet name="1.3" sheetId="49" r:id="rId3"/>
    <sheet name="1.4" sheetId="88" r:id="rId4"/>
    <sheet name="1.5" sheetId="131" r:id="rId5"/>
    <sheet name="2.1" sheetId="142" r:id="rId6"/>
    <sheet name="4.4" sheetId="135" r:id="rId7"/>
    <sheet name="5.1" sheetId="145" r:id="rId8"/>
    <sheet name="5.2" sheetId="197" r:id="rId9"/>
    <sheet name="5.3" sheetId="147" r:id="rId10"/>
    <sheet name="5.4" sheetId="137" r:id="rId11"/>
    <sheet name="6.2" sheetId="211" r:id="rId12"/>
    <sheet name="8.1" sheetId="119" r:id="rId13"/>
    <sheet name="10.1" sheetId="181" r:id="rId14"/>
    <sheet name="11.9" sheetId="30" r:id="rId15"/>
    <sheet name="13.8" sheetId="212" r:id="rId16"/>
    <sheet name="20.1" sheetId="148" r:id="rId17"/>
    <sheet name="PCS1.2.11" sheetId="214" r:id="rId18"/>
    <sheet name="A" sheetId="107" r:id="rId19"/>
    <sheet name="Sch D" sheetId="198" r:id="rId20"/>
    <sheet name="D" sheetId="199" r:id="rId21"/>
    <sheet name="Sch F" sheetId="202" r:id="rId22"/>
    <sheet name="F" sheetId="201" r:id="rId23"/>
    <sheet name="Sch G" sheetId="213" r:id="rId24"/>
    <sheet name="G" sheetId="203" r:id="rId25"/>
    <sheet name="Summary" sheetId="204" r:id="rId26"/>
  </sheets>
  <externalReferences>
    <externalReference r:id="rId27"/>
    <externalReference r:id="rId28"/>
    <externalReference r:id="rId29"/>
  </externalReferences>
  <definedNames>
    <definedName name="_Backfill" localSheetId="8">[1]Home!$E$51</definedName>
    <definedName name="_Backfill" localSheetId="20">[2]Home!$E$51</definedName>
    <definedName name="_Backfill" localSheetId="22">[2]Home!$E$51</definedName>
    <definedName name="_Backfill" localSheetId="24">[2]Home!$E$51</definedName>
    <definedName name="_Backfill" localSheetId="19">[2]Home!$E$51</definedName>
    <definedName name="_Backfill" localSheetId="21">[2]Home!$E$51</definedName>
    <definedName name="_Backfill" localSheetId="23">[2]Home!$E$51</definedName>
    <definedName name="_Backfill" localSheetId="25">[2]Home!$E$51</definedName>
    <definedName name="_Backfill">Home!$E$51</definedName>
    <definedName name="_Benching">Home!$E$49</definedName>
    <definedName name="_Brickwork">Home!$E$43</definedName>
    <definedName name="_Clearing">Home!$E$50</definedName>
    <definedName name="_Client1" localSheetId="8">[1]Home!$C$2</definedName>
    <definedName name="_Client1" localSheetId="20">[2]Home!$C$2</definedName>
    <definedName name="_Client1" localSheetId="22">[2]Home!$C$2</definedName>
    <definedName name="_Client1" localSheetId="24">[2]Home!$C$2</definedName>
    <definedName name="_Client1" localSheetId="19">[2]Home!$C$2</definedName>
    <definedName name="_Client1" localSheetId="21">[2]Home!$C$2</definedName>
    <definedName name="_Client1" localSheetId="23">[2]Home!$C$2</definedName>
    <definedName name="_Client1" localSheetId="25">[2]Home!$C$2</definedName>
    <definedName name="_Client1">Home!$C$2</definedName>
    <definedName name="_Client2" localSheetId="8">[1]Home!$C$3</definedName>
    <definedName name="_Client2" localSheetId="20">[2]Home!$C$3</definedName>
    <definedName name="_Client2" localSheetId="22">[2]Home!$C$3</definedName>
    <definedName name="_Client2" localSheetId="24">[2]Home!$C$3</definedName>
    <definedName name="_Client2" localSheetId="19">[2]Home!$C$3</definedName>
    <definedName name="_Client2" localSheetId="21">[2]Home!$C$3</definedName>
    <definedName name="_Client2" localSheetId="23">[2]Home!$C$3</definedName>
    <definedName name="_Client2" localSheetId="25">[2]Home!$C$3</definedName>
    <definedName name="_Client2">Home!$C$3</definedName>
    <definedName name="_ContractNo" localSheetId="8">[1]Home!$C$5</definedName>
    <definedName name="_ContractNo" localSheetId="20">[2]Home!$C$5</definedName>
    <definedName name="_ContractNo" localSheetId="22">[2]Home!$C$5</definedName>
    <definedName name="_ContractNo" localSheetId="24">[2]Home!$C$5</definedName>
    <definedName name="_ContractNo" localSheetId="19">[2]Home!$C$5</definedName>
    <definedName name="_ContractNo" localSheetId="21">[2]Home!$C$5</definedName>
    <definedName name="_ContractNo" localSheetId="23">[2]Home!$C$5</definedName>
    <definedName name="_ContractNo" localSheetId="25">[2]Home!$C$5</definedName>
    <definedName name="_ContractNo">Home!$C$5</definedName>
    <definedName name="_ContractPeriod" localSheetId="8">[1]Home!$C$16</definedName>
    <definedName name="_ContractPeriod" localSheetId="20">[2]Home!$C$16</definedName>
    <definedName name="_ContractPeriod" localSheetId="22">[2]Home!$C$16</definedName>
    <definedName name="_ContractPeriod" localSheetId="24">[2]Home!$C$16</definedName>
    <definedName name="_ContractPeriod" localSheetId="19">[2]Home!$C$16</definedName>
    <definedName name="_ContractPeriod" localSheetId="21">[2]Home!$C$16</definedName>
    <definedName name="_ContractPeriod" localSheetId="23">[2]Home!$C$16</definedName>
    <definedName name="_ContractPeriod" localSheetId="25">[2]Home!$C$16</definedName>
    <definedName name="_ContractPeriod">Home!$C$16</definedName>
    <definedName name="_Description" localSheetId="8">[1]Home!$C$6</definedName>
    <definedName name="_Description" localSheetId="20">[2]Home!$C$6</definedName>
    <definedName name="_Description" localSheetId="22">[2]Home!$C$6</definedName>
    <definedName name="_Description" localSheetId="24">[2]Home!$C$6</definedName>
    <definedName name="_Description" localSheetId="19">[2]Home!$C$6</definedName>
    <definedName name="_Description" localSheetId="21">[2]Home!$C$6</definedName>
    <definedName name="_Description" localSheetId="23">[2]Home!$C$6</definedName>
    <definedName name="_Description" localSheetId="25">[2]Home!$C$6</definedName>
    <definedName name="_Description">Home!$C$6</definedName>
    <definedName name="_Excavation" localSheetId="8">[1]Home!$E$44</definedName>
    <definedName name="_Excavation" localSheetId="20">[2]Home!$E$44</definedName>
    <definedName name="_Excavation" localSheetId="22">[2]Home!$E$44</definedName>
    <definedName name="_Excavation" localSheetId="24">[2]Home!$E$44</definedName>
    <definedName name="_Excavation" localSheetId="19">[2]Home!$E$44</definedName>
    <definedName name="_Excavation" localSheetId="21">[2]Home!$E$44</definedName>
    <definedName name="_Excavation" localSheetId="23">[2]Home!$E$44</definedName>
    <definedName name="_Excavation" localSheetId="25">[2]Home!$E$44</definedName>
    <definedName name="_Excavation">Home!$E$44</definedName>
    <definedName name="_Expansion">Home!$E$57</definedName>
    <definedName name="_Formwork" localSheetId="8">[1]Home!$E$52</definedName>
    <definedName name="_Formwork" localSheetId="20">[2]Home!$E$52</definedName>
    <definedName name="_Formwork" localSheetId="22">[2]Home!$E$52</definedName>
    <definedName name="_Formwork" localSheetId="24">[2]Home!$E$52</definedName>
    <definedName name="_Formwork" localSheetId="19">[2]Home!$E$52</definedName>
    <definedName name="_Formwork" localSheetId="21">[2]Home!$E$52</definedName>
    <definedName name="_Formwork" localSheetId="23">[2]Home!$E$52</definedName>
    <definedName name="_Formwork" localSheetId="25">[2]Home!$E$52</definedName>
    <definedName name="_Formwork">Home!$E$52</definedName>
    <definedName name="_Gabion" localSheetId="8">[1]Home!$E$60</definedName>
    <definedName name="_Gabion" localSheetId="20">[2]Home!$E$60</definedName>
    <definedName name="_Gabion" localSheetId="22">[2]Home!$E$60</definedName>
    <definedName name="_Gabion" localSheetId="24">[2]Home!$E$60</definedName>
    <definedName name="_Gabion" localSheetId="19">[2]Home!$E$60</definedName>
    <definedName name="_Gabion" localSheetId="21">[2]Home!$E$60</definedName>
    <definedName name="_Gabion" localSheetId="23">[2]Home!$E$60</definedName>
    <definedName name="_Gabion" localSheetId="25">[2]Home!$E$60</definedName>
    <definedName name="_Gabion">Home!$E$60</definedName>
    <definedName name="_Geofabric">Home!$E$55</definedName>
    <definedName name="_GPost" localSheetId="8">[1]Home!$E$61</definedName>
    <definedName name="_GPost" localSheetId="20">[2]Home!$E$61</definedName>
    <definedName name="_GPost" localSheetId="22">[2]Home!$E$61</definedName>
    <definedName name="_GPost" localSheetId="24">[2]Home!$E$61</definedName>
    <definedName name="_GPost" localSheetId="19">[2]Home!$E$61</definedName>
    <definedName name="_GPost" localSheetId="21">[2]Home!$E$61</definedName>
    <definedName name="_GPost" localSheetId="23">[2]Home!$E$61</definedName>
    <definedName name="_GPost" localSheetId="25">[2]Home!$E$61</definedName>
    <definedName name="_GPost">Home!$E$61</definedName>
    <definedName name="_GRail" localSheetId="8">[1]Home!$E$62</definedName>
    <definedName name="_GRail" localSheetId="20">[2]Home!$E$62</definedName>
    <definedName name="_GRail" localSheetId="22">[2]Home!$E$62</definedName>
    <definedName name="_GRail" localSheetId="24">[2]Home!$E$62</definedName>
    <definedName name="_GRail" localSheetId="19">[2]Home!$E$62</definedName>
    <definedName name="_GRail" localSheetId="21">[2]Home!$E$62</definedName>
    <definedName name="_GRail" localSheetId="23">[2]Home!$E$62</definedName>
    <definedName name="_GRail" localSheetId="25">[2]Home!$E$62</definedName>
    <definedName name="_GRail">Home!$E$62</definedName>
    <definedName name="_Haul" localSheetId="8">[1]Home!$E$40</definedName>
    <definedName name="_Haul" localSheetId="20">[2]Home!$E$40</definedName>
    <definedName name="_Haul" localSheetId="22">[2]Home!$E$40</definedName>
    <definedName name="_Haul" localSheetId="24">[2]Home!$E$40</definedName>
    <definedName name="_Haul" localSheetId="19">[2]Home!$E$40</definedName>
    <definedName name="_Haul" localSheetId="21">[2]Home!$E$40</definedName>
    <definedName name="_Haul" localSheetId="23">[2]Home!$E$40</definedName>
    <definedName name="_Haul" localSheetId="25">[2]Home!$E$40</definedName>
    <definedName name="_Haul">Home!$E$40</definedName>
    <definedName name="_HaulPerMetre" localSheetId="8">[1]Home!$E$38</definedName>
    <definedName name="_HaulPerMetre" localSheetId="20">[2]Home!$E$38</definedName>
    <definedName name="_HaulPerMetre" localSheetId="22">[2]Home!$E$38</definedName>
    <definedName name="_HaulPerMetre" localSheetId="24">[2]Home!$E$38</definedName>
    <definedName name="_HaulPerMetre" localSheetId="19">[2]Home!$E$38</definedName>
    <definedName name="_HaulPerMetre" localSheetId="21">[2]Home!$E$38</definedName>
    <definedName name="_HaulPerMetre" localSheetId="23">[2]Home!$E$38</definedName>
    <definedName name="_HaulPerMetre" localSheetId="25">[2]Home!$E$38</definedName>
    <definedName name="_HaulPerMetre">Home!$E$38</definedName>
    <definedName name="_KandC">Home!$E$59</definedName>
    <definedName name="_Kerb" localSheetId="8">[1]Home!$E$58</definedName>
    <definedName name="_Kerb" localSheetId="20">[2]Home!$E$58</definedName>
    <definedName name="_Kerb" localSheetId="22">[2]Home!$E$58</definedName>
    <definedName name="_Kerb" localSheetId="24">[2]Home!$E$58</definedName>
    <definedName name="_Kerb" localSheetId="19">[2]Home!$E$58</definedName>
    <definedName name="_Kerb" localSheetId="21">[2]Home!$E$58</definedName>
    <definedName name="_Kerb" localSheetId="23">[2]Home!$E$58</definedName>
    <definedName name="_Kerb" localSheetId="25">[2]Home!$E$58</definedName>
    <definedName name="_Kerb">Home!$E$58</definedName>
    <definedName name="_LabourDaily" localSheetId="8">[1]Home!$C$13</definedName>
    <definedName name="_LabourDaily" localSheetId="20">[2]Home!$C$13</definedName>
    <definedName name="_LabourDaily" localSheetId="22">[2]Home!$C$13</definedName>
    <definedName name="_LabourDaily" localSheetId="24">[2]Home!$C$13</definedName>
    <definedName name="_LabourDaily" localSheetId="19">[2]Home!$C$13</definedName>
    <definedName name="_LabourDaily" localSheetId="21">[2]Home!$C$13</definedName>
    <definedName name="_LabourDaily" localSheetId="23">[2]Home!$C$13</definedName>
    <definedName name="_LabourDaily" localSheetId="25">[2]Home!$C$13</definedName>
    <definedName name="_LabourDaily">Home!$C$13</definedName>
    <definedName name="_LabourHours">Home!$C$12</definedName>
    <definedName name="_LabourRate" localSheetId="8">[1]Home!$C$11</definedName>
    <definedName name="_LabourRate" localSheetId="20">[2]Home!$C$11</definedName>
    <definedName name="_LabourRate" localSheetId="22">[2]Home!$C$11</definedName>
    <definedName name="_LabourRate" localSheetId="24">[2]Home!$C$11</definedName>
    <definedName name="_LabourRate" localSheetId="19">[2]Home!$C$11</definedName>
    <definedName name="_LabourRate" localSheetId="21">[2]Home!$C$11</definedName>
    <definedName name="_LabourRate" localSheetId="23">[2]Home!$C$11</definedName>
    <definedName name="_LabourRate" localSheetId="25">[2]Home!$C$11</definedName>
    <definedName name="_LabourRate">Home!$C$11</definedName>
    <definedName name="_Markup" localSheetId="8">[1]Home!$C$27</definedName>
    <definedName name="_Markup" localSheetId="20">[2]Home!$C$27</definedName>
    <definedName name="_Markup" localSheetId="22">[2]Home!$C$27</definedName>
    <definedName name="_Markup" localSheetId="24">[2]Home!$C$27</definedName>
    <definedName name="_Markup" localSheetId="19">[2]Home!$C$27</definedName>
    <definedName name="_Markup" localSheetId="21">[2]Home!$C$27</definedName>
    <definedName name="_Markup" localSheetId="23">[2]Home!$C$27</definedName>
    <definedName name="_Markup" localSheetId="25">[2]Home!$C$27</definedName>
    <definedName name="_Markup">Home!$C$27</definedName>
    <definedName name="_Mesh" localSheetId="8">[1]Home!$E$53</definedName>
    <definedName name="_Mesh" localSheetId="20">[2]Home!$E$53</definedName>
    <definedName name="_Mesh" localSheetId="22">[2]Home!$E$53</definedName>
    <definedName name="_Mesh" localSheetId="24">[2]Home!$E$53</definedName>
    <definedName name="_Mesh" localSheetId="19">[2]Home!$E$53</definedName>
    <definedName name="_Mesh" localSheetId="21">[2]Home!$E$53</definedName>
    <definedName name="_Mesh" localSheetId="23">[2]Home!$E$53</definedName>
    <definedName name="_Mesh" localSheetId="25">[2]Home!$E$53</definedName>
    <definedName name="_Mesh">Home!$E$53</definedName>
    <definedName name="_Mix" localSheetId="8">[1]Home!$E$41</definedName>
    <definedName name="_Mix" localSheetId="20">[2]Home!$E$41</definedName>
    <definedName name="_Mix" localSheetId="22">[2]Home!$E$41</definedName>
    <definedName name="_Mix" localSheetId="24">[2]Home!$E$41</definedName>
    <definedName name="_Mix" localSheetId="19">[2]Home!$E$41</definedName>
    <definedName name="_Mix" localSheetId="21">[2]Home!$E$41</definedName>
    <definedName name="_Mix" localSheetId="23">[2]Home!$E$41</definedName>
    <definedName name="_Mix" localSheetId="25">[2]Home!$E$41</definedName>
    <definedName name="_Mix">Home!$E$41</definedName>
    <definedName name="_Place" localSheetId="8">[1]Home!$E$42</definedName>
    <definedName name="_Place" localSheetId="20">[2]Home!$E$42</definedName>
    <definedName name="_Place" localSheetId="22">[2]Home!$E$42</definedName>
    <definedName name="_Place" localSheetId="24">[2]Home!$E$42</definedName>
    <definedName name="_Place" localSheetId="19">[2]Home!$E$42</definedName>
    <definedName name="_Place" localSheetId="21">[2]Home!$E$42</definedName>
    <definedName name="_Place" localSheetId="23">[2]Home!$E$42</definedName>
    <definedName name="_Place" localSheetId="25">[2]Home!$E$42</definedName>
    <definedName name="_Place">Home!$E$42</definedName>
    <definedName name="_Plaster">Home!$E$48</definedName>
    <definedName name="_RoadLength" localSheetId="8">[1]Home!$C$25</definedName>
    <definedName name="_RoadLength" localSheetId="20">[2]Home!$C$25</definedName>
    <definedName name="_RoadLength" localSheetId="22">[2]Home!$C$25</definedName>
    <definedName name="_RoadLength" localSheetId="24">[2]Home!$C$25</definedName>
    <definedName name="_RoadLength" localSheetId="19">[2]Home!$C$25</definedName>
    <definedName name="_RoadLength" localSheetId="21">[2]Home!$C$25</definedName>
    <definedName name="_RoadLength" localSheetId="23">[2]Home!$C$25</definedName>
    <definedName name="_RoadLength" localSheetId="25">[2]Home!$C$25</definedName>
    <definedName name="_RoadLength">Home!$C$25</definedName>
    <definedName name="_Roadmarkings">Home!$C$30</definedName>
    <definedName name="_RoadstudSpc">Home!$C$31</definedName>
    <definedName name="_Sheeting" localSheetId="8">[1]Home!$E$54</definedName>
    <definedName name="_Sheeting" localSheetId="20">[2]Home!$E$54</definedName>
    <definedName name="_Sheeting" localSheetId="22">[2]Home!$E$54</definedName>
    <definedName name="_Sheeting" localSheetId="24">[2]Home!$E$54</definedName>
    <definedName name="_Sheeting" localSheetId="19">[2]Home!$E$54</definedName>
    <definedName name="_Sheeting" localSheetId="21">[2]Home!$E$54</definedName>
    <definedName name="_Sheeting" localSheetId="23">[2]Home!$E$54</definedName>
    <definedName name="_Sheeting" localSheetId="25">[2]Home!$E$54</definedName>
    <definedName name="_Sheeting">Home!$E$54</definedName>
    <definedName name="_Sign" localSheetId="8">[1]Home!$E$63</definedName>
    <definedName name="_Sign" localSheetId="20">[2]Home!$E$63</definedName>
    <definedName name="_Sign" localSheetId="22">[2]Home!$E$63</definedName>
    <definedName name="_Sign" localSheetId="24">[2]Home!$E$63</definedName>
    <definedName name="_Sign" localSheetId="19">[2]Home!$E$63</definedName>
    <definedName name="_Sign" localSheetId="21">[2]Home!$E$63</definedName>
    <definedName name="_Sign" localSheetId="23">[2]Home!$E$63</definedName>
    <definedName name="_Sign" localSheetId="25">[2]Home!$E$63</definedName>
    <definedName name="_Sign">Home!$E$63</definedName>
    <definedName name="_Spread">Home!$E$47</definedName>
    <definedName name="_Stamp">Home!$E$45</definedName>
    <definedName name="_Subsoil">Home!$E$56</definedName>
    <definedName name="_Summary" localSheetId="8">[1]Home!$J$16</definedName>
    <definedName name="_Summary" localSheetId="20">[2]Home!$J$16</definedName>
    <definedName name="_Summary" localSheetId="22">[2]Home!$J$16</definedName>
    <definedName name="_Summary" localSheetId="24">[2]Home!$J$16</definedName>
    <definedName name="_Summary" localSheetId="19">[2]Home!$J$16</definedName>
    <definedName name="_Summary" localSheetId="21">[2]Home!$J$16</definedName>
    <definedName name="_Summary" localSheetId="23">[2]Home!$J$16</definedName>
    <definedName name="_Summary" localSheetId="25">[2]Home!$J$16</definedName>
    <definedName name="_Summary">Home!$J$16</definedName>
    <definedName name="_Wacker" localSheetId="8">[1]Home!$E$46</definedName>
    <definedName name="_Wacker" localSheetId="20">[2]Home!$E$46</definedName>
    <definedName name="_Wacker" localSheetId="22">[2]Home!$E$46</definedName>
    <definedName name="_Wacker" localSheetId="24">[2]Home!$E$46</definedName>
    <definedName name="_Wacker" localSheetId="19">[2]Home!$E$46</definedName>
    <definedName name="_Wacker" localSheetId="21">[2]Home!$E$46</definedName>
    <definedName name="_Wacker" localSheetId="23">[2]Home!$E$46</definedName>
    <definedName name="_Wacker" localSheetId="25">[2]Home!$E$46</definedName>
    <definedName name="_Wacker">Home!$E$46</definedName>
    <definedName name="Page_A" localSheetId="8">[1]Home!$J$12</definedName>
    <definedName name="Page_A" localSheetId="20">[2]Home!$J$12</definedName>
    <definedName name="Page_A" localSheetId="22">[2]Home!$J$12</definedName>
    <definedName name="Page_A" localSheetId="24">[2]Home!$J$12</definedName>
    <definedName name="Page_A" localSheetId="19">[2]Home!$J$12</definedName>
    <definedName name="Page_A" localSheetId="21">[2]Home!$J$12</definedName>
    <definedName name="Page_A" localSheetId="23">[2]Home!$J$12</definedName>
    <definedName name="Page_A" localSheetId="25">[2]Home!$J$12</definedName>
    <definedName name="Page_A">Home!$J$12</definedName>
    <definedName name="Page_D" localSheetId="8">[1]Home!$J$13</definedName>
    <definedName name="Page_D" localSheetId="20">[2]Home!$J$13</definedName>
    <definedName name="Page_D" localSheetId="22">[2]Home!$J$13</definedName>
    <definedName name="Page_D" localSheetId="24">[2]Home!$J$13</definedName>
    <definedName name="Page_D" localSheetId="19">[2]Home!$J$13</definedName>
    <definedName name="Page_D" localSheetId="21">[2]Home!$J$13</definedName>
    <definedName name="Page_D" localSheetId="23">[2]Home!$J$13</definedName>
    <definedName name="Page_D" localSheetId="25">[2]Home!$J$13</definedName>
    <definedName name="Page_D">Home!$J$13</definedName>
    <definedName name="Page_F" localSheetId="8">[1]Home!$J$14</definedName>
    <definedName name="Page_F" localSheetId="20">[2]Home!$J$14</definedName>
    <definedName name="Page_F" localSheetId="22">[2]Home!$J$14</definedName>
    <definedName name="Page_F" localSheetId="24">[2]Home!$J$14</definedName>
    <definedName name="Page_F" localSheetId="19">[2]Home!$J$14</definedName>
    <definedName name="Page_F" localSheetId="21">[2]Home!$J$14</definedName>
    <definedName name="Page_F" localSheetId="23">[2]Home!$J$14</definedName>
    <definedName name="Page_F" localSheetId="25">[2]Home!$J$14</definedName>
    <definedName name="Page_F">Home!$J$14</definedName>
    <definedName name="Page_G" localSheetId="8">[1]Home!$J$15</definedName>
    <definedName name="Page_G" localSheetId="20">[2]Home!$J$15</definedName>
    <definedName name="Page_G" localSheetId="22">[2]Home!$J$15</definedName>
    <definedName name="Page_G" localSheetId="24">[2]Home!$J$15</definedName>
    <definedName name="Page_G" localSheetId="19">[2]Home!$J$15</definedName>
    <definedName name="Page_G" localSheetId="21">[2]Home!$J$15</definedName>
    <definedName name="Page_G" localSheetId="23">[2]Home!$J$15</definedName>
    <definedName name="Page_G" localSheetId="25">[2]Home!$J$15</definedName>
    <definedName name="Page_G">Home!$J$15</definedName>
    <definedName name="_xlnm.Print_Area" localSheetId="1">'1.2'!$A$1:$I$123</definedName>
    <definedName name="_xlnm.Print_Area" localSheetId="2">'1.3'!$A$1:$I$24</definedName>
    <definedName name="_xlnm.Print_Area" localSheetId="3">'1.4'!$A$2:$I$113</definedName>
    <definedName name="_xlnm.Print_Area" localSheetId="4">'1.5'!$A$2:$I$122</definedName>
    <definedName name="_xlnm.Print_Area" localSheetId="13">'10.1'!$A$1:$I$47</definedName>
    <definedName name="_xlnm.Print_Area" localSheetId="14">'11.9'!$A$1:$I$19</definedName>
    <definedName name="_xlnm.Print_Area" localSheetId="15">'13.8'!$A$2:$I$19</definedName>
    <definedName name="_xlnm.Print_Area" localSheetId="5">'2.1'!$A$1:$I$40</definedName>
    <definedName name="_xlnm.Print_Area" localSheetId="16">'20.1'!$A$1:$I$21</definedName>
    <definedName name="_xlnm.Print_Area" localSheetId="6">'4.4'!$A$1:$I$24</definedName>
    <definedName name="_xlnm.Print_Area" localSheetId="7">'5.1'!$A$1:$I$50</definedName>
    <definedName name="_xlnm.Print_Area" localSheetId="8">'5.2'!$A$1:$I$27</definedName>
    <definedName name="_xlnm.Print_Area" localSheetId="9">'5.3'!$A$2:$I$28</definedName>
    <definedName name="_xlnm.Print_Area" localSheetId="10">'5.4'!$A$2:$I$29</definedName>
    <definedName name="_xlnm.Print_Area" localSheetId="11">'6.2'!$A$1:$I$19</definedName>
    <definedName name="_xlnm.Print_Area" localSheetId="12">'8.1'!$A$1:$I$26</definedName>
    <definedName name="_xlnm.Print_Area" localSheetId="18">A!$A$1:$G$31</definedName>
    <definedName name="_xlnm.Print_Area" localSheetId="20">D!$A$1:$F$15</definedName>
    <definedName name="_xlnm.Print_Area" localSheetId="22">F!$A$1:$F$15</definedName>
    <definedName name="_xlnm.Print_Area" localSheetId="24">G!$A$1:$F$15</definedName>
    <definedName name="_xlnm.Print_Area" localSheetId="17">'PCS1.2.11'!$A$2:$I$45</definedName>
    <definedName name="_xlnm.Print_Area" localSheetId="19">'Sch D'!$A$1:$I$64</definedName>
    <definedName name="_xlnm.Print_Area" localSheetId="21">'Sch F'!$A$1:$I$91</definedName>
    <definedName name="_xlnm.Print_Area" localSheetId="23">'Sch G'!$A$1:$I$46</definedName>
    <definedName name="_xlnm.Print_Area" localSheetId="25">Summary!$A$1:$F$27</definedName>
    <definedName name="_xlnm.Print_Titles" localSheetId="1">'1.2'!$6:$10</definedName>
    <definedName name="_xlnm.Print_Titles" localSheetId="2">'1.3'!$6:$10</definedName>
    <definedName name="_xlnm.Print_Titles" localSheetId="13">'10.1'!$6:$10</definedName>
    <definedName name="_xlnm.Print_Titles" localSheetId="14">'11.9'!$6:$10</definedName>
    <definedName name="_xlnm.Print_Titles" localSheetId="15">'13.8'!$6:$10</definedName>
    <definedName name="_xlnm.Print_Titles" localSheetId="16">'20.1'!$6:$10</definedName>
    <definedName name="_xlnm.Print_Titles" localSheetId="7">'5.1'!$6:$10</definedName>
    <definedName name="_xlnm.Print_Titles" localSheetId="8">'5.2'!$6:$10</definedName>
    <definedName name="_xlnm.Print_Titles" localSheetId="9">'5.3'!$6:$10</definedName>
    <definedName name="_xlnm.Print_Titles" localSheetId="10">'5.4'!$6:$10</definedName>
    <definedName name="_xlnm.Print_Titles" localSheetId="11">'6.2'!$6:$10</definedName>
    <definedName name="_xlnm.Print_Titles" localSheetId="12">'8.1'!$6:$10</definedName>
    <definedName name="_xlnm.Print_Titles" localSheetId="19">'Sch D'!$6:$10</definedName>
    <definedName name="_xlnm.Print_Titles" localSheetId="23">'Sch G'!$6:$10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213" l="1"/>
  <c r="H15" i="202"/>
  <c r="H18" i="212"/>
  <c r="H20" i="148"/>
  <c r="H15" i="30"/>
  <c r="H46" i="181"/>
  <c r="H25" i="119"/>
  <c r="H28" i="137"/>
  <c r="H18" i="211"/>
  <c r="H109" i="88"/>
  <c r="H106" i="88"/>
  <c r="H101" i="88"/>
  <c r="H96" i="88"/>
  <c r="H94" i="88"/>
  <c r="H89" i="88"/>
  <c r="H85" i="88"/>
  <c r="H81" i="88"/>
  <c r="H74" i="88"/>
  <c r="H72" i="88"/>
  <c r="H70" i="88"/>
  <c r="H68" i="88"/>
  <c r="H66" i="88"/>
  <c r="H64" i="88"/>
  <c r="H25" i="137"/>
  <c r="H23" i="137"/>
  <c r="H15" i="137"/>
  <c r="H24" i="147"/>
  <c r="H27" i="147" s="1"/>
  <c r="H22" i="147"/>
  <c r="H20" i="147"/>
  <c r="H13" i="147"/>
  <c r="H26" i="197"/>
  <c r="H24" i="197"/>
  <c r="H20" i="197"/>
  <c r="H16" i="197"/>
  <c r="H47" i="145"/>
  <c r="H45" i="145"/>
  <c r="H40" i="145"/>
  <c r="H38" i="145"/>
  <c r="H33" i="145"/>
  <c r="H31" i="145"/>
  <c r="H24" i="145"/>
  <c r="H22" i="145"/>
  <c r="H20" i="145"/>
  <c r="H15" i="145"/>
  <c r="H49" i="145" s="1"/>
  <c r="H51" i="88"/>
  <c r="H23" i="49"/>
  <c r="H23" i="135"/>
  <c r="H21" i="135"/>
  <c r="H19" i="135"/>
  <c r="H17" i="135"/>
  <c r="H48" i="88"/>
  <c r="H46" i="88"/>
  <c r="H44" i="88"/>
  <c r="H42" i="88"/>
  <c r="H40" i="88"/>
  <c r="H38" i="88"/>
  <c r="H36" i="88"/>
  <c r="H34" i="88"/>
  <c r="H32" i="88"/>
  <c r="H30" i="88"/>
  <c r="H28" i="88"/>
  <c r="H26" i="88"/>
  <c r="H24" i="88"/>
  <c r="H22" i="88"/>
  <c r="H15" i="88"/>
  <c r="H13" i="88"/>
  <c r="H21" i="49"/>
  <c r="B14" i="204" l="1"/>
  <c r="C29" i="107" l="1"/>
  <c r="H40" i="214" l="1"/>
  <c r="F42" i="214" s="1"/>
  <c r="H42" i="214" s="1"/>
  <c r="H36" i="214"/>
  <c r="F38" i="214" s="1"/>
  <c r="H38" i="214" s="1"/>
  <c r="H32" i="214"/>
  <c r="F34" i="214" s="1"/>
  <c r="H34" i="214" s="1"/>
  <c r="H28" i="214"/>
  <c r="F30" i="214" s="1"/>
  <c r="H30" i="214" s="1"/>
  <c r="H24" i="214"/>
  <c r="F26" i="214" s="1"/>
  <c r="H26" i="214" s="1"/>
  <c r="H20" i="214"/>
  <c r="F22" i="214" s="1"/>
  <c r="H22" i="214" s="1"/>
  <c r="B44" i="214"/>
  <c r="H16" i="214"/>
  <c r="H11" i="214"/>
  <c r="H10" i="214"/>
  <c r="B7" i="214"/>
  <c r="F6" i="214"/>
  <c r="B6" i="214"/>
  <c r="B4" i="214"/>
  <c r="F3" i="214"/>
  <c r="B3" i="214"/>
  <c r="F18" i="214" l="1"/>
  <c r="H18" i="214" s="1"/>
  <c r="H44" i="214" s="1"/>
  <c r="E29" i="107" s="1"/>
  <c r="H1" i="214" l="1"/>
  <c r="C44" i="214" s="1"/>
  <c r="B16" i="204" l="1"/>
  <c r="H43" i="213" l="1"/>
  <c r="H41" i="213"/>
  <c r="H39" i="213"/>
  <c r="H34" i="213"/>
  <c r="H32" i="213"/>
  <c r="H30" i="213"/>
  <c r="H25" i="213"/>
  <c r="H23" i="213"/>
  <c r="H18" i="213"/>
  <c r="H16" i="213"/>
  <c r="H10" i="213"/>
  <c r="B4" i="213"/>
  <c r="B3" i="213"/>
  <c r="H1" i="213" l="1"/>
  <c r="C45" i="213" s="1"/>
  <c r="E12" i="203"/>
  <c r="C17" i="107" l="1"/>
  <c r="H18" i="131" l="1"/>
  <c r="F38" i="202"/>
  <c r="F14" i="211"/>
  <c r="F47" i="131"/>
  <c r="F44" i="131"/>
  <c r="F31" i="131"/>
  <c r="F39" i="39"/>
  <c r="F35" i="39"/>
  <c r="F6" i="148" l="1"/>
  <c r="F6" i="88"/>
  <c r="F6" i="49"/>
  <c r="H15" i="212"/>
  <c r="F6" i="212"/>
  <c r="F6" i="30"/>
  <c r="F13" i="212"/>
  <c r="H13" i="212" s="1"/>
  <c r="B18" i="212"/>
  <c r="H17" i="212"/>
  <c r="H14" i="212"/>
  <c r="H12" i="212"/>
  <c r="H11" i="212"/>
  <c r="H10" i="212"/>
  <c r="B7" i="212"/>
  <c r="B4" i="212"/>
  <c r="F3" i="212"/>
  <c r="B3" i="212"/>
  <c r="F16" i="211"/>
  <c r="H16" i="211"/>
  <c r="H14" i="211"/>
  <c r="B18" i="211"/>
  <c r="H17" i="211"/>
  <c r="H13" i="211"/>
  <c r="H11" i="211"/>
  <c r="H10" i="211"/>
  <c r="B7" i="211"/>
  <c r="F6" i="211"/>
  <c r="B4" i="211"/>
  <c r="F3" i="211"/>
  <c r="B3" i="211"/>
  <c r="E27" i="107" l="1"/>
  <c r="H1" i="212"/>
  <c r="C18" i="212" s="1"/>
  <c r="H1" i="211"/>
  <c r="C18" i="211" s="1"/>
  <c r="E23" i="107"/>
  <c r="H15" i="39" l="1"/>
  <c r="H17" i="39"/>
  <c r="H19" i="39"/>
  <c r="H20" i="39"/>
  <c r="H21" i="39"/>
  <c r="H22" i="39"/>
  <c r="H23" i="39"/>
  <c r="H24" i="39"/>
  <c r="H25" i="39"/>
  <c r="H26" i="39"/>
  <c r="H27" i="39"/>
  <c r="H28" i="39"/>
  <c r="H33" i="39"/>
  <c r="H34" i="39"/>
  <c r="H35" i="39"/>
  <c r="H36" i="39"/>
  <c r="H37" i="39"/>
  <c r="H39" i="39"/>
  <c r="H41" i="39"/>
  <c r="H48" i="39"/>
  <c r="H50" i="39"/>
  <c r="H51" i="39"/>
  <c r="H52" i="39"/>
  <c r="H53" i="39"/>
  <c r="H54" i="39"/>
  <c r="H55" i="39"/>
  <c r="H60" i="39"/>
  <c r="H62" i="39"/>
  <c r="H60" i="198"/>
  <c r="H59" i="198"/>
  <c r="H58" i="198"/>
  <c r="H56" i="198"/>
  <c r="H53" i="198"/>
  <c r="H51" i="198"/>
  <c r="H49" i="198"/>
  <c r="H47" i="198"/>
  <c r="H45" i="198"/>
  <c r="H43" i="198"/>
  <c r="H41" i="198"/>
  <c r="H39" i="198"/>
  <c r="H37" i="198"/>
  <c r="H35" i="198"/>
  <c r="H34" i="198"/>
  <c r="H33" i="198"/>
  <c r="H32" i="198"/>
  <c r="H31" i="198"/>
  <c r="H30" i="198"/>
  <c r="H29" i="198"/>
  <c r="H28" i="198"/>
  <c r="H26" i="198"/>
  <c r="H24" i="198"/>
  <c r="H22" i="198"/>
  <c r="H20" i="198"/>
  <c r="H17" i="198"/>
  <c r="H18" i="198"/>
  <c r="H15" i="198"/>
  <c r="H14" i="198"/>
  <c r="B2" i="204"/>
  <c r="B1" i="204"/>
  <c r="B14" i="203"/>
  <c r="B5" i="203"/>
  <c r="B2" i="203"/>
  <c r="B1" i="203"/>
  <c r="F88" i="202"/>
  <c r="H88" i="202" s="1"/>
  <c r="H87" i="202"/>
  <c r="H86" i="202"/>
  <c r="H85" i="202"/>
  <c r="H84" i="202"/>
  <c r="H83" i="202"/>
  <c r="H81" i="202"/>
  <c r="H80" i="202"/>
  <c r="F82" i="202" s="1"/>
  <c r="H82" i="202" s="1"/>
  <c r="H79" i="202"/>
  <c r="H78" i="202"/>
  <c r="H77" i="202"/>
  <c r="H75" i="202"/>
  <c r="H74" i="202"/>
  <c r="F76" i="202" s="1"/>
  <c r="H76" i="202" s="1"/>
  <c r="H73" i="202"/>
  <c r="H72" i="202"/>
  <c r="H71" i="202"/>
  <c r="H69" i="202"/>
  <c r="H68" i="202"/>
  <c r="F70" i="202" s="1"/>
  <c r="H70" i="202" s="1"/>
  <c r="H67" i="202"/>
  <c r="H66" i="202"/>
  <c r="H65" i="202"/>
  <c r="H63" i="202"/>
  <c r="H62" i="202"/>
  <c r="F64" i="202" s="1"/>
  <c r="H64" i="202" s="1"/>
  <c r="H61" i="202"/>
  <c r="H60" i="202"/>
  <c r="H59" i="202"/>
  <c r="H58" i="202"/>
  <c r="H57" i="202"/>
  <c r="H56" i="202"/>
  <c r="H55" i="202"/>
  <c r="H53" i="202"/>
  <c r="H52" i="202"/>
  <c r="F54" i="202" s="1"/>
  <c r="H54" i="202" s="1"/>
  <c r="H51" i="202"/>
  <c r="H49" i="202"/>
  <c r="H47" i="202"/>
  <c r="H46" i="202"/>
  <c r="H45" i="202"/>
  <c r="F41" i="202"/>
  <c r="B41" i="202"/>
  <c r="B36" i="202"/>
  <c r="B90" i="202" s="1"/>
  <c r="H35" i="202"/>
  <c r="H34" i="202"/>
  <c r="H33" i="202"/>
  <c r="H32" i="202"/>
  <c r="H31" i="202"/>
  <c r="H30" i="202"/>
  <c r="H29" i="202"/>
  <c r="H28" i="202"/>
  <c r="H27" i="202"/>
  <c r="H26" i="202"/>
  <c r="H25" i="202"/>
  <c r="H24" i="202"/>
  <c r="H23" i="202"/>
  <c r="H22" i="202"/>
  <c r="H21" i="202"/>
  <c r="H20" i="202"/>
  <c r="H19" i="202"/>
  <c r="H18" i="202"/>
  <c r="H17" i="202"/>
  <c r="H16" i="202"/>
  <c r="H14" i="202"/>
  <c r="H13" i="202"/>
  <c r="H12" i="202"/>
  <c r="H11" i="202"/>
  <c r="H10" i="202"/>
  <c r="B4" i="202"/>
  <c r="B39" i="202" s="1"/>
  <c r="B3" i="202"/>
  <c r="B38" i="202" s="1"/>
  <c r="B14" i="201"/>
  <c r="B12" i="201"/>
  <c r="B5" i="201"/>
  <c r="B2" i="201"/>
  <c r="B1" i="201"/>
  <c r="C12" i="199"/>
  <c r="B12" i="199"/>
  <c r="B5" i="199"/>
  <c r="B2" i="199"/>
  <c r="B1" i="199"/>
  <c r="B63" i="198"/>
  <c r="H62" i="198"/>
  <c r="H61" i="198"/>
  <c r="H13" i="198"/>
  <c r="H12" i="198"/>
  <c r="H11" i="198"/>
  <c r="H10" i="198"/>
  <c r="B4" i="198"/>
  <c r="B3" i="198"/>
  <c r="H16" i="198" l="1"/>
  <c r="H63" i="198" s="1"/>
  <c r="H1" i="198" l="1"/>
  <c r="C63" i="198" s="1"/>
  <c r="E12" i="199"/>
  <c r="E14" i="199" l="1"/>
  <c r="E9" i="204"/>
  <c r="C28" i="107"/>
  <c r="C26" i="107"/>
  <c r="H44" i="181"/>
  <c r="H40" i="181"/>
  <c r="H38" i="181"/>
  <c r="H33" i="181"/>
  <c r="C25" i="107"/>
  <c r="C21" i="107"/>
  <c r="C20" i="107"/>
  <c r="B26" i="197"/>
  <c r="H25" i="197"/>
  <c r="H23" i="197"/>
  <c r="H21" i="197"/>
  <c r="AJ18" i="197"/>
  <c r="AD18" i="197"/>
  <c r="H15" i="197"/>
  <c r="H11" i="197"/>
  <c r="H10" i="197"/>
  <c r="F6" i="197"/>
  <c r="B4" i="197"/>
  <c r="B3" i="197"/>
  <c r="H1" i="197" l="1"/>
  <c r="C26" i="197" s="1"/>
  <c r="E20" i="107"/>
  <c r="H37" i="142" l="1"/>
  <c r="H95" i="131"/>
  <c r="H93" i="131"/>
  <c r="H91" i="131"/>
  <c r="H86" i="131"/>
  <c r="H84" i="131"/>
  <c r="H69" i="131"/>
  <c r="H67" i="131"/>
  <c r="H61" i="131"/>
  <c r="H58" i="131"/>
  <c r="F33" i="131"/>
  <c r="H33" i="131" s="1"/>
  <c r="H31" i="131"/>
  <c r="H29" i="131"/>
  <c r="F27" i="131"/>
  <c r="H20" i="131"/>
  <c r="F22" i="131" s="1"/>
  <c r="H22" i="131" s="1"/>
  <c r="H13" i="131"/>
  <c r="H107" i="88"/>
  <c r="H113" i="39"/>
  <c r="H111" i="39"/>
  <c r="H106" i="39"/>
  <c r="H104" i="39"/>
  <c r="H102" i="39"/>
  <c r="H100" i="39"/>
  <c r="H94" i="39"/>
  <c r="H92" i="39"/>
  <c r="H90" i="39"/>
  <c r="H75" i="39"/>
  <c r="H73" i="39"/>
  <c r="F41" i="39"/>
  <c r="F33" i="39"/>
  <c r="H15" i="119"/>
  <c r="H43" i="181"/>
  <c r="H42" i="181"/>
  <c r="H41" i="181"/>
  <c r="H39" i="181"/>
  <c r="H37" i="181"/>
  <c r="H36" i="181"/>
  <c r="H35" i="181"/>
  <c r="H34" i="181"/>
  <c r="H32" i="181"/>
  <c r="H31" i="181"/>
  <c r="H30" i="181"/>
  <c r="H29" i="181"/>
  <c r="H28" i="181"/>
  <c r="H27" i="181"/>
  <c r="H26" i="181"/>
  <c r="H25" i="181"/>
  <c r="H24" i="181"/>
  <c r="H23" i="181"/>
  <c r="H22" i="181"/>
  <c r="H21" i="181"/>
  <c r="H20" i="181"/>
  <c r="H19" i="181"/>
  <c r="H18" i="181"/>
  <c r="H17" i="181"/>
  <c r="H16" i="181"/>
  <c r="H15" i="181"/>
  <c r="H14" i="181"/>
  <c r="H13" i="181"/>
  <c r="H12" i="181"/>
  <c r="H11" i="181"/>
  <c r="H10" i="181"/>
  <c r="H27" i="131" l="1"/>
  <c r="B46" i="181"/>
  <c r="H45" i="181"/>
  <c r="B7" i="181"/>
  <c r="F6" i="181"/>
  <c r="B4" i="181"/>
  <c r="F3" i="181"/>
  <c r="B3" i="181"/>
  <c r="V21" i="135"/>
  <c r="U21" i="135"/>
  <c r="T21" i="135"/>
  <c r="R21" i="135"/>
  <c r="H66" i="39"/>
  <c r="U19" i="135"/>
  <c r="T19" i="135"/>
  <c r="U20" i="135"/>
  <c r="R20" i="135"/>
  <c r="B30" i="107"/>
  <c r="H77" i="39" l="1"/>
  <c r="H79" i="39"/>
  <c r="H19" i="131"/>
  <c r="H16" i="131"/>
  <c r="C19" i="107"/>
  <c r="B20" i="148"/>
  <c r="H19" i="148"/>
  <c r="H18" i="148"/>
  <c r="H16" i="148"/>
  <c r="H15" i="148"/>
  <c r="F17" i="148" s="1"/>
  <c r="H17" i="148" s="1"/>
  <c r="H14" i="148"/>
  <c r="H13" i="148"/>
  <c r="H12" i="148"/>
  <c r="H11" i="148"/>
  <c r="H10" i="148"/>
  <c r="B7" i="148"/>
  <c r="B4" i="148"/>
  <c r="F3" i="148"/>
  <c r="B3" i="148"/>
  <c r="B27" i="147"/>
  <c r="H26" i="147"/>
  <c r="AD22" i="147"/>
  <c r="AJ25" i="147"/>
  <c r="AJ22" i="147"/>
  <c r="H21" i="147"/>
  <c r="H19" i="147"/>
  <c r="H12" i="147"/>
  <c r="H11" i="147"/>
  <c r="H10" i="147"/>
  <c r="B7" i="147"/>
  <c r="F6" i="147"/>
  <c r="B4" i="147"/>
  <c r="F3" i="147"/>
  <c r="B3" i="147"/>
  <c r="H39" i="145"/>
  <c r="B49" i="145"/>
  <c r="H48" i="145"/>
  <c r="AD27" i="145"/>
  <c r="H44" i="145"/>
  <c r="H43" i="145"/>
  <c r="H41" i="145"/>
  <c r="H37" i="145"/>
  <c r="H36" i="145"/>
  <c r="H34" i="145"/>
  <c r="H32" i="145"/>
  <c r="AJ31" i="145"/>
  <c r="AJ27" i="145"/>
  <c r="H26" i="145"/>
  <c r="H21" i="145"/>
  <c r="H14" i="145"/>
  <c r="H11" i="145"/>
  <c r="H10" i="145"/>
  <c r="B7" i="145"/>
  <c r="F6" i="145"/>
  <c r="B4" i="145"/>
  <c r="F3" i="145"/>
  <c r="B3" i="145"/>
  <c r="H35" i="142"/>
  <c r="H33" i="142"/>
  <c r="H29" i="142"/>
  <c r="H26" i="142"/>
  <c r="H22" i="142"/>
  <c r="F24" i="142" s="1"/>
  <c r="H15" i="142"/>
  <c r="F17" i="142" s="1"/>
  <c r="H17" i="142" s="1"/>
  <c r="H38" i="142"/>
  <c r="H19" i="142"/>
  <c r="H16" i="142"/>
  <c r="H14" i="142"/>
  <c r="H12" i="142"/>
  <c r="H11" i="142"/>
  <c r="H10" i="142"/>
  <c r="B7" i="142"/>
  <c r="F6" i="142"/>
  <c r="B6" i="142"/>
  <c r="B4" i="142"/>
  <c r="F3" i="142"/>
  <c r="B3" i="142"/>
  <c r="H110" i="131"/>
  <c r="H48" i="131"/>
  <c r="H50" i="131"/>
  <c r="H36" i="131"/>
  <c r="H34" i="131"/>
  <c r="H35" i="131"/>
  <c r="F37" i="131" s="1"/>
  <c r="H37" i="131" s="1"/>
  <c r="H28" i="131"/>
  <c r="C16" i="107"/>
  <c r="C24" i="107"/>
  <c r="C22" i="107"/>
  <c r="C18" i="107"/>
  <c r="C15" i="107"/>
  <c r="C14" i="107"/>
  <c r="C13" i="107"/>
  <c r="H97" i="131"/>
  <c r="H76" i="131"/>
  <c r="H78" i="131"/>
  <c r="H79" i="131"/>
  <c r="H80" i="131"/>
  <c r="H81" i="131"/>
  <c r="H82" i="131"/>
  <c r="H70" i="131"/>
  <c r="H73" i="131"/>
  <c r="H74" i="131"/>
  <c r="H75" i="131"/>
  <c r="H65" i="131"/>
  <c r="H55" i="131"/>
  <c r="H56" i="131"/>
  <c r="H62" i="131"/>
  <c r="H63" i="131"/>
  <c r="H53" i="131"/>
  <c r="H54" i="131"/>
  <c r="H100" i="131"/>
  <c r="H47" i="131"/>
  <c r="H44" i="131"/>
  <c r="H20" i="119"/>
  <c r="B28" i="137"/>
  <c r="H27" i="137"/>
  <c r="H20" i="137"/>
  <c r="H14" i="137"/>
  <c r="H11" i="137"/>
  <c r="H10" i="137"/>
  <c r="B7" i="137"/>
  <c r="F6" i="137"/>
  <c r="B4" i="137"/>
  <c r="F3" i="137"/>
  <c r="B3" i="137"/>
  <c r="B23" i="135"/>
  <c r="H22" i="135"/>
  <c r="H20" i="135"/>
  <c r="H12" i="135"/>
  <c r="H11" i="135"/>
  <c r="H10" i="135"/>
  <c r="B7" i="135"/>
  <c r="F6" i="135"/>
  <c r="B4" i="135"/>
  <c r="F3" i="135"/>
  <c r="B3" i="135"/>
  <c r="H81" i="39"/>
  <c r="H82" i="39"/>
  <c r="H83" i="39"/>
  <c r="H84" i="39"/>
  <c r="H85" i="39"/>
  <c r="H86" i="39"/>
  <c r="H87" i="39"/>
  <c r="H88" i="39"/>
  <c r="H96" i="39"/>
  <c r="H98" i="39"/>
  <c r="H109" i="39"/>
  <c r="H112" i="39"/>
  <c r="H114" i="39"/>
  <c r="H116" i="39"/>
  <c r="H117" i="39"/>
  <c r="H118" i="39"/>
  <c r="H120" i="39"/>
  <c r="H65" i="39"/>
  <c r="H16" i="39"/>
  <c r="H32" i="39"/>
  <c r="F119" i="39" l="1"/>
  <c r="H119" i="39" s="1"/>
  <c r="H1" i="145"/>
  <c r="H1" i="181"/>
  <c r="C46" i="181" s="1"/>
  <c r="E25" i="107"/>
  <c r="H24" i="142"/>
  <c r="H39" i="142" s="1"/>
  <c r="E28" i="107"/>
  <c r="H1" i="137"/>
  <c r="H1" i="135"/>
  <c r="H1" i="147" l="1"/>
  <c r="C27" i="147" s="1"/>
  <c r="E21" i="107"/>
  <c r="H1" i="148"/>
  <c r="C49" i="145"/>
  <c r="E19" i="107"/>
  <c r="C28" i="137"/>
  <c r="E22" i="107"/>
  <c r="C23" i="135"/>
  <c r="E18" i="107"/>
  <c r="B121" i="131"/>
  <c r="H118" i="131"/>
  <c r="H116" i="131"/>
  <c r="H115" i="131"/>
  <c r="F117" i="131" s="1"/>
  <c r="H114" i="131"/>
  <c r="H112" i="131"/>
  <c r="H108" i="131"/>
  <c r="H107" i="131"/>
  <c r="H105" i="131"/>
  <c r="H103" i="131"/>
  <c r="H52" i="131"/>
  <c r="H51" i="131"/>
  <c r="H11" i="131"/>
  <c r="H10" i="131"/>
  <c r="B7" i="131"/>
  <c r="F6" i="131"/>
  <c r="B6" i="131"/>
  <c r="B4" i="131"/>
  <c r="F3" i="131"/>
  <c r="B3" i="131"/>
  <c r="C20" i="148" l="1"/>
  <c r="H117" i="131"/>
  <c r="H121" i="131" s="1"/>
  <c r="H1" i="142"/>
  <c r="E17" i="107" s="1"/>
  <c r="C39" i="142" l="1"/>
  <c r="H93" i="88"/>
  <c r="H95" i="88"/>
  <c r="H98" i="88"/>
  <c r="H1" i="131" l="1"/>
  <c r="C121" i="131" l="1"/>
  <c r="E16" i="107"/>
  <c r="H16" i="49" l="1"/>
  <c r="H108" i="88" l="1"/>
  <c r="H103" i="88"/>
  <c r="H111" i="88"/>
  <c r="H104" i="88" l="1"/>
  <c r="H49" i="88" l="1"/>
  <c r="H47" i="88"/>
  <c r="H45" i="88"/>
  <c r="J13" i="91" l="1"/>
  <c r="J14" i="91" l="1"/>
  <c r="J15" i="91" s="1"/>
  <c r="H43" i="88"/>
  <c r="H41" i="88"/>
  <c r="H39" i="88"/>
  <c r="H37" i="88"/>
  <c r="H33" i="88"/>
  <c r="H31" i="88"/>
  <c r="H27" i="88"/>
  <c r="H25" i="88"/>
  <c r="H23" i="88"/>
  <c r="B25" i="119" l="1"/>
  <c r="H24" i="119"/>
  <c r="H23" i="119"/>
  <c r="H22" i="119"/>
  <c r="H21" i="119"/>
  <c r="H17" i="119"/>
  <c r="H16" i="119"/>
  <c r="H14" i="119"/>
  <c r="H13" i="119"/>
  <c r="H12" i="119"/>
  <c r="H11" i="119"/>
  <c r="H10" i="119"/>
  <c r="B7" i="119"/>
  <c r="F6" i="119"/>
  <c r="B4" i="119"/>
  <c r="F3" i="119"/>
  <c r="B3" i="119"/>
  <c r="B6" i="107"/>
  <c r="B3" i="107"/>
  <c r="B2" i="107"/>
  <c r="C1" i="107"/>
  <c r="B18" i="30"/>
  <c r="H17" i="30"/>
  <c r="H14" i="30"/>
  <c r="H13" i="30"/>
  <c r="H12" i="30"/>
  <c r="H11" i="30"/>
  <c r="H10" i="30"/>
  <c r="B7" i="30"/>
  <c r="B4" i="30"/>
  <c r="F3" i="30"/>
  <c r="B3" i="30"/>
  <c r="H99" i="88"/>
  <c r="H91" i="88"/>
  <c r="H88" i="88"/>
  <c r="H87" i="88"/>
  <c r="H86" i="88"/>
  <c r="H84" i="88"/>
  <c r="H83" i="88"/>
  <c r="H82" i="88"/>
  <c r="H80" i="88"/>
  <c r="H79" i="88"/>
  <c r="H78" i="88"/>
  <c r="H77" i="88"/>
  <c r="H76" i="88"/>
  <c r="H73" i="88"/>
  <c r="H71" i="88"/>
  <c r="H69" i="88"/>
  <c r="H67" i="88"/>
  <c r="H65" i="88"/>
  <c r="H63" i="88"/>
  <c r="F56" i="88"/>
  <c r="B56" i="88"/>
  <c r="H50" i="88"/>
  <c r="H21" i="88"/>
  <c r="H20" i="88"/>
  <c r="H19" i="88"/>
  <c r="H17" i="88"/>
  <c r="H14" i="88"/>
  <c r="H12" i="88"/>
  <c r="H11" i="88"/>
  <c r="H10" i="88"/>
  <c r="B7" i="88"/>
  <c r="B4" i="88"/>
  <c r="B54" i="88" s="1"/>
  <c r="F3" i="88"/>
  <c r="B3" i="88"/>
  <c r="H20" i="49"/>
  <c r="H18" i="49"/>
  <c r="H14" i="49"/>
  <c r="H13" i="49"/>
  <c r="H12" i="49"/>
  <c r="H11" i="49"/>
  <c r="H10" i="49"/>
  <c r="B7" i="49"/>
  <c r="B4" i="49"/>
  <c r="F3" i="49"/>
  <c r="B3" i="49"/>
  <c r="H121" i="39"/>
  <c r="H71" i="39"/>
  <c r="H70" i="39"/>
  <c r="H69" i="39"/>
  <c r="H68" i="39"/>
  <c r="H67" i="39"/>
  <c r="H63" i="39"/>
  <c r="H57" i="39"/>
  <c r="H47" i="39"/>
  <c r="H44" i="39"/>
  <c r="H43" i="39"/>
  <c r="F45" i="39" s="1"/>
  <c r="H45" i="39" s="1"/>
  <c r="H42" i="39"/>
  <c r="H14" i="39"/>
  <c r="H13" i="39"/>
  <c r="H12" i="39"/>
  <c r="H11" i="39"/>
  <c r="H10" i="39"/>
  <c r="B7" i="39"/>
  <c r="F6" i="39"/>
  <c r="B4" i="39"/>
  <c r="F3" i="39"/>
  <c r="B3" i="39"/>
  <c r="E63" i="91"/>
  <c r="E57" i="91"/>
  <c r="E56" i="91"/>
  <c r="E55" i="91"/>
  <c r="E54" i="91"/>
  <c r="E53" i="91"/>
  <c r="E52" i="91"/>
  <c r="E50" i="91"/>
  <c r="E47" i="91"/>
  <c r="E46" i="91"/>
  <c r="E45" i="91"/>
  <c r="E41" i="91"/>
  <c r="E38" i="91"/>
  <c r="E40" i="91" s="1"/>
  <c r="K34" i="91"/>
  <c r="K33" i="91"/>
  <c r="K32" i="91"/>
  <c r="K30" i="91"/>
  <c r="P28" i="91"/>
  <c r="O28" i="91"/>
  <c r="K28" i="91"/>
  <c r="C25" i="91"/>
  <c r="C13" i="91"/>
  <c r="F81" i="88" l="1"/>
  <c r="F85" i="88"/>
  <c r="F89" i="88"/>
  <c r="F64" i="39"/>
  <c r="H64" i="39" s="1"/>
  <c r="H122" i="39" s="1"/>
  <c r="E44" i="91"/>
  <c r="B53" i="88"/>
  <c r="E51" i="91"/>
  <c r="E48" i="91"/>
  <c r="E60" i="91"/>
  <c r="E58" i="91"/>
  <c r="E61" i="91"/>
  <c r="E43" i="91"/>
  <c r="E49" i="91"/>
  <c r="E62" i="91"/>
  <c r="H19" i="49"/>
  <c r="E42" i="91"/>
  <c r="H61" i="88"/>
  <c r="B57" i="88"/>
  <c r="F2" i="107"/>
  <c r="E53" i="88"/>
  <c r="V19" i="135" l="1"/>
  <c r="R19" i="135"/>
  <c r="E59" i="91"/>
  <c r="J16" i="91"/>
  <c r="H112" i="88" l="1"/>
  <c r="H1" i="39"/>
  <c r="H18" i="30"/>
  <c r="E26" i="107" s="1"/>
  <c r="H48" i="202" l="1"/>
  <c r="F50" i="202" s="1"/>
  <c r="H50" i="202" s="1"/>
  <c r="F15" i="202"/>
  <c r="H36" i="202" s="1"/>
  <c r="H44" i="202" s="1"/>
  <c r="H1" i="30"/>
  <c r="E13" i="107"/>
  <c r="H90" i="202" l="1"/>
  <c r="C18" i="30"/>
  <c r="H1" i="119"/>
  <c r="E14" i="203" l="1"/>
  <c r="E12" i="204" s="1"/>
  <c r="E12" i="201"/>
  <c r="E14" i="201" s="1"/>
  <c r="E10" i="204" s="1"/>
  <c r="H1" i="202"/>
  <c r="C36" i="202" s="1"/>
  <c r="E24" i="107"/>
  <c r="C25" i="119"/>
  <c r="C90" i="202" l="1"/>
  <c r="H1" i="88"/>
  <c r="C51" i="88" l="1"/>
  <c r="E15" i="107"/>
  <c r="C112" i="88"/>
  <c r="H17" i="49" l="1"/>
  <c r="C122" i="39" l="1"/>
  <c r="B42" i="202" l="1"/>
  <c r="B14" i="199" l="1"/>
  <c r="H15" i="49"/>
  <c r="H1" i="49" l="1"/>
  <c r="E14" i="107" s="1"/>
  <c r="E30" i="107" s="1"/>
  <c r="E1" i="107" l="1"/>
  <c r="E8" i="204"/>
  <c r="C23" i="49"/>
  <c r="E11" i="204" l="1"/>
  <c r="E13" i="204" s="1"/>
  <c r="E14" i="204" s="1"/>
  <c r="E15" i="204" s="1"/>
  <c r="E16" i="204" l="1"/>
  <c r="E17" i="204" s="1"/>
  <c r="E18" i="204" l="1"/>
  <c r="E19" i="204" s="1"/>
</calcChain>
</file>

<file path=xl/sharedStrings.xml><?xml version="1.0" encoding="utf-8"?>
<sst xmlns="http://schemas.openxmlformats.org/spreadsheetml/2006/main" count="1279" uniqueCount="726">
  <si>
    <t>ITEM NO</t>
  </si>
  <si>
    <t>DESCRIPTION</t>
  </si>
  <si>
    <t>UNIT</t>
  </si>
  <si>
    <t>QUANTITY</t>
  </si>
  <si>
    <t>RATE</t>
  </si>
  <si>
    <t>AMOUNT</t>
  </si>
  <si>
    <t>%</t>
  </si>
  <si>
    <t>CONTRACTOR'S ESTABLISHMENT ON SITE AND GENERAL OBLIGATIONS</t>
  </si>
  <si>
    <t>month</t>
  </si>
  <si>
    <t>m²</t>
  </si>
  <si>
    <t>No</t>
  </si>
  <si>
    <t>ACCOMMODATION OF TRAFFIC</t>
  </si>
  <si>
    <t>km</t>
  </si>
  <si>
    <t>m³</t>
  </si>
  <si>
    <t>ha</t>
  </si>
  <si>
    <t>m</t>
  </si>
  <si>
    <t>t</t>
  </si>
  <si>
    <t>l</t>
  </si>
  <si>
    <t>FINISHING THE ROAD AND ROAD RESERVE AND TREATING OLD ROADS</t>
  </si>
  <si>
    <t>Finishing the road and road reserve:</t>
  </si>
  <si>
    <t>SECTION</t>
  </si>
  <si>
    <t>SCHEDULE A: ROADWORKS</t>
  </si>
  <si>
    <t>The Contractor's general obligations:</t>
  </si>
  <si>
    <t>(a) Fixed obligations</t>
  </si>
  <si>
    <t>(c) Time-related obligations</t>
  </si>
  <si>
    <t>Clearing and grubbing</t>
  </si>
  <si>
    <t>kg</t>
  </si>
  <si>
    <t>ITEM No</t>
  </si>
  <si>
    <t xml:space="preserve"> km</t>
  </si>
  <si>
    <t>Brought forward</t>
  </si>
  <si>
    <t>LI</t>
  </si>
  <si>
    <t>Depth</t>
  </si>
  <si>
    <t>Width</t>
  </si>
  <si>
    <t>Length</t>
  </si>
  <si>
    <t xml:space="preserve">Month </t>
  </si>
  <si>
    <t>No.</t>
  </si>
  <si>
    <t>PC sum</t>
  </si>
  <si>
    <t>PC Sum</t>
  </si>
  <si>
    <t>hr</t>
  </si>
  <si>
    <t>Province of KwaZulu-Natal</t>
  </si>
  <si>
    <t>Department of Transport</t>
  </si>
  <si>
    <t>Client Line 1:</t>
  </si>
  <si>
    <t>Client Line 2:</t>
  </si>
  <si>
    <t>Contract No:</t>
  </si>
  <si>
    <t>Labour Rate /hr</t>
  </si>
  <si>
    <t>Hrs /day</t>
  </si>
  <si>
    <t>Labour Rate /day</t>
  </si>
  <si>
    <t>Contract Period:</t>
  </si>
  <si>
    <t>CPA %:</t>
  </si>
  <si>
    <t>SUMMARY OF SECTIONS</t>
  </si>
  <si>
    <t>Contingencies %:</t>
  </si>
  <si>
    <t>Contract</t>
  </si>
  <si>
    <t>Duration</t>
  </si>
  <si>
    <t>% CPA</t>
  </si>
  <si>
    <t>18 months</t>
  </si>
  <si>
    <t>12 months</t>
  </si>
  <si>
    <t>6 months</t>
  </si>
  <si>
    <t>Road Length (km)</t>
  </si>
  <si>
    <t>Description:</t>
  </si>
  <si>
    <t>Road Start (km)</t>
  </si>
  <si>
    <t>Road End (km)</t>
  </si>
  <si>
    <t>Total Carried Forward to Summary</t>
  </si>
  <si>
    <t>Roadmarking</t>
  </si>
  <si>
    <t>Applications (No.)</t>
  </si>
  <si>
    <t>(1 or 2)</t>
  </si>
  <si>
    <t>Default PC Sum markup %:</t>
  </si>
  <si>
    <t>Summary Pages:</t>
  </si>
  <si>
    <t>A</t>
  </si>
  <si>
    <t>D</t>
  </si>
  <si>
    <t>F</t>
  </si>
  <si>
    <t>G</t>
  </si>
  <si>
    <t>Summary</t>
  </si>
  <si>
    <r>
      <t>m</t>
    </r>
    <r>
      <rPr>
        <sz val="9"/>
        <rFont val="Calibri"/>
        <family val="2"/>
      </rPr>
      <t>³</t>
    </r>
  </si>
  <si>
    <t xml:space="preserve"> months</t>
  </si>
  <si>
    <t xml:space="preserve"> /hr</t>
  </si>
  <si>
    <t xml:space="preserve"> /day</t>
  </si>
  <si>
    <t>Plaster</t>
  </si>
  <si>
    <t>Benching</t>
  </si>
  <si>
    <r>
      <t>m</t>
    </r>
    <r>
      <rPr>
        <vertAlign val="superscript"/>
        <sz val="10"/>
        <rFont val="Arial"/>
        <family val="2"/>
      </rPr>
      <t>3</t>
    </r>
  </si>
  <si>
    <r>
      <t>m</t>
    </r>
    <r>
      <rPr>
        <vertAlign val="superscript"/>
        <sz val="10"/>
        <rFont val="Arial"/>
        <family val="2"/>
      </rPr>
      <t>2</t>
    </r>
  </si>
  <si>
    <t>Mod</t>
  </si>
  <si>
    <t>Cement</t>
  </si>
  <si>
    <t>Bitumen Demand</t>
  </si>
  <si>
    <t>tonnes Bitumen req</t>
  </si>
  <si>
    <t>kl</t>
  </si>
  <si>
    <t>PRIME COAT</t>
  </si>
  <si>
    <t>Prime coat:</t>
  </si>
  <si>
    <t>(c) MC-30 cut-back bitumen</t>
  </si>
  <si>
    <t>Aggregate for blinding</t>
  </si>
  <si>
    <t>Area</t>
  </si>
  <si>
    <t>Roadstud spacing</t>
  </si>
  <si>
    <t xml:space="preserve"> m</t>
  </si>
  <si>
    <t>FROM PAGE</t>
  </si>
  <si>
    <t>Pages:</t>
  </si>
  <si>
    <t>a</t>
  </si>
  <si>
    <t>b</t>
  </si>
  <si>
    <t>c</t>
  </si>
  <si>
    <t>d</t>
  </si>
  <si>
    <t>Earthworks</t>
  </si>
  <si>
    <t xml:space="preserve">General Civils  </t>
  </si>
  <si>
    <t xml:space="preserve">50% Earthworks </t>
  </si>
  <si>
    <t>50% Concrete</t>
  </si>
  <si>
    <t>Road-works and Layer-works</t>
  </si>
  <si>
    <t>Concrete Structures</t>
  </si>
  <si>
    <t>Premix Surfacing &amp; Rehabilitation</t>
  </si>
  <si>
    <t>Type</t>
  </si>
  <si>
    <t>Total</t>
  </si>
  <si>
    <t>Contract Price Adjustment Factors:</t>
  </si>
  <si>
    <t>2 man team 15min per pipe [(LR x 2men x 15min / 60min) / 2.5m]</t>
  </si>
  <si>
    <t>Brickwork Area</t>
  </si>
  <si>
    <t>Brick walling</t>
  </si>
  <si>
    <t>Concrete Vol</t>
  </si>
  <si>
    <t>Conc. Place &amp; Compact</t>
  </si>
  <si>
    <t>Labour-intensive costs:</t>
  </si>
  <si>
    <t>Haulage Dist (m)</t>
  </si>
  <si>
    <r>
      <t>Concrete Mix (R/m</t>
    </r>
    <r>
      <rPr>
        <sz val="10"/>
        <rFont val="Calibri"/>
        <family val="2"/>
      </rPr>
      <t>³</t>
    </r>
    <r>
      <rPr>
        <sz val="10"/>
        <rFont val="Arial"/>
        <family val="2"/>
      </rPr>
      <t>)</t>
    </r>
  </si>
  <si>
    <t>Reference</t>
  </si>
  <si>
    <t>_Mix</t>
  </si>
  <si>
    <t>_Place</t>
  </si>
  <si>
    <t>_Haul</t>
  </si>
  <si>
    <t>Soft Excavation (incl. haul)</t>
  </si>
  <si>
    <t>_Excavation</t>
  </si>
  <si>
    <t>_HaulPerMetre</t>
  </si>
  <si>
    <t>_Brickwork</t>
  </si>
  <si>
    <t>Rate</t>
  </si>
  <si>
    <t>Unit</t>
  </si>
  <si>
    <r>
      <t>m</t>
    </r>
    <r>
      <rPr>
        <sz val="10"/>
        <rFont val="Calibri"/>
        <family val="2"/>
      </rPr>
      <t>³</t>
    </r>
  </si>
  <si>
    <r>
      <t>m</t>
    </r>
    <r>
      <rPr>
        <sz val="10"/>
        <rFont val="Arial"/>
        <family val="2"/>
      </rPr>
      <t>²</t>
    </r>
  </si>
  <si>
    <t>Item</t>
  </si>
  <si>
    <t>Compaction (hand stamper)</t>
  </si>
  <si>
    <t>_Stamp</t>
  </si>
  <si>
    <t>Spread (e.g. stone)</t>
  </si>
  <si>
    <t>_Spread</t>
  </si>
  <si>
    <t>8m³ / man / hour</t>
  </si>
  <si>
    <t>2.5m³ /day + haul: 70sec/0.06m³/50m</t>
  </si>
  <si>
    <t>Productivity</t>
  </si>
  <si>
    <t>Compactoin (wacker)</t>
  </si>
  <si>
    <t>_Wacker</t>
  </si>
  <si>
    <r>
      <t>(Team = 1 Artisan + 2 Labour = 4 Labour equivalent) @ 25m</t>
    </r>
    <r>
      <rPr>
        <sz val="10"/>
        <rFont val="Arial"/>
        <family val="2"/>
      </rPr>
      <t>² /day</t>
    </r>
  </si>
  <si>
    <t>_Plaster</t>
  </si>
  <si>
    <t>_Benching</t>
  </si>
  <si>
    <t>(Team = 1 Artisan + 2 Labour = 4 Labour equivalent) @ 15m² /day</t>
  </si>
  <si>
    <t>20m² /hr @ 150mm deep</t>
  </si>
  <si>
    <t>5m² /hr @ 100mm deep</t>
  </si>
  <si>
    <t>_Clearing</t>
  </si>
  <si>
    <t>10m² /hr</t>
  </si>
  <si>
    <t>_Backfill</t>
  </si>
  <si>
    <t>Backfill (incl wacker)</t>
  </si>
  <si>
    <r>
      <t>10m</t>
    </r>
    <r>
      <rPr>
        <sz val="10"/>
        <rFont val="Arial"/>
        <family val="2"/>
      </rPr>
      <t>³</t>
    </r>
    <r>
      <rPr>
        <sz val="10"/>
        <rFont val="Arial"/>
        <family val="2"/>
      </rPr>
      <t xml:space="preserve"> /day + wacker</t>
    </r>
  </si>
  <si>
    <t>_Formwork</t>
  </si>
  <si>
    <t>Formwork (std shutters)</t>
  </si>
  <si>
    <t>3 man hours/m²</t>
  </si>
  <si>
    <t>_Mesh</t>
  </si>
  <si>
    <t>100 man hours / ton</t>
  </si>
  <si>
    <t>Weld Mesh</t>
  </si>
  <si>
    <t>Polyethylene Sheeting</t>
  </si>
  <si>
    <t>_Sheeting</t>
  </si>
  <si>
    <t>5min /m²</t>
  </si>
  <si>
    <t xml:space="preserve">105 mins/m³ (7pkts mix/m³) [105 / 60 x LR x 5] </t>
  </si>
  <si>
    <t>Same rate as for mixing by hand</t>
  </si>
  <si>
    <t>5 m²/day for 4 labour-equivalent</t>
  </si>
  <si>
    <t xml:space="preserve">70sec/0.06m³/50m             </t>
  </si>
  <si>
    <t xml:space="preserve">[LR x 70 / 60 / 60 / 0.06]                   </t>
  </si>
  <si>
    <t>Haulage R/m/m³</t>
  </si>
  <si>
    <r>
      <t>Haulage R/m</t>
    </r>
    <r>
      <rPr>
        <sz val="10"/>
        <rFont val="Calibri"/>
        <family val="2"/>
      </rPr>
      <t>³</t>
    </r>
  </si>
  <si>
    <t>2 man team 4min per m² [(LR x 2men x 4min / 60min)]</t>
  </si>
  <si>
    <t>Filter Fabric</t>
  </si>
  <si>
    <t>_Geofabric</t>
  </si>
  <si>
    <t>Subsoil Pipe</t>
  </si>
  <si>
    <t>_Subsoil</t>
  </si>
  <si>
    <t>21.12(a) Subsoil drain outlet:</t>
  </si>
  <si>
    <t>Expansion Joints (sealed)</t>
  </si>
  <si>
    <t>20m / 5 man hours/m [5/20 x LR]</t>
  </si>
  <si>
    <t>_Expansion</t>
  </si>
  <si>
    <t>Kerb bedding &amp; laying</t>
  </si>
  <si>
    <t>Kerb &amp; channel</t>
  </si>
  <si>
    <t>_Kerb</t>
  </si>
  <si>
    <t>_KandC</t>
  </si>
  <si>
    <t>[Concrete x0.3m wide x0.075 deep)] + [70m kerbs/team/day (team of 4-equivalent)]</t>
  </si>
  <si>
    <t>Excavation (0.5m x 0.1m) + Concrete (0.5m x 0.1m) + Kerb</t>
  </si>
  <si>
    <t>1m³/man/day</t>
  </si>
  <si>
    <t>Gabion</t>
  </si>
  <si>
    <t>_Gabion</t>
  </si>
  <si>
    <t>Guardrail Posts</t>
  </si>
  <si>
    <t>8 posts /team/day (4-equivalent team)</t>
  </si>
  <si>
    <t>_GPost</t>
  </si>
  <si>
    <t>Guardrail Erection</t>
  </si>
  <si>
    <t>26m/team/day [LR x 9 x 4 / 26]</t>
  </si>
  <si>
    <t>_GRail</t>
  </si>
  <si>
    <t>_Sign</t>
  </si>
  <si>
    <t>Road Sign &amp; Pole Erect</t>
  </si>
  <si>
    <r>
      <t>2 hours per sign per team (4-equivalent) (up to 2m</t>
    </r>
    <r>
      <rPr>
        <sz val="10"/>
        <rFont val="Calibri"/>
        <family val="2"/>
      </rPr>
      <t>²</t>
    </r>
    <r>
      <rPr>
        <sz val="10"/>
        <rFont val="Arial"/>
        <family val="2"/>
      </rPr>
      <t xml:space="preserve"> size)</t>
    </r>
  </si>
  <si>
    <t xml:space="preserve">Width </t>
  </si>
  <si>
    <t>spec</t>
  </si>
  <si>
    <t>Litres</t>
  </si>
  <si>
    <t>(b) Value-related obligations</t>
  </si>
  <si>
    <r>
      <t>m</t>
    </r>
    <r>
      <rPr>
        <sz val="9"/>
        <rFont val="Calibri"/>
        <family val="2"/>
      </rPr>
      <t>²</t>
    </r>
  </si>
  <si>
    <t>Month</t>
  </si>
  <si>
    <t>1.2</t>
  </si>
  <si>
    <t>GENERAL REQUIREMENTS AND PAYMENTS</t>
  </si>
  <si>
    <t>C1.2.1</t>
  </si>
  <si>
    <t>Environmental Management</t>
  </si>
  <si>
    <t>C1.2.1.1</t>
  </si>
  <si>
    <t>Monitoring of compliance with and reporting on the EMP</t>
  </si>
  <si>
    <t>C1.2.3.1</t>
  </si>
  <si>
    <t>Grass cutting</t>
  </si>
  <si>
    <t>C1.2.3.2</t>
  </si>
  <si>
    <t>Drain cleaning</t>
  </si>
  <si>
    <t>C1.2.3.11</t>
  </si>
  <si>
    <t>Other road maintenance work ordered by the engineer</t>
  </si>
  <si>
    <t>P/Sum</t>
  </si>
  <si>
    <t>C1.2.3.12</t>
  </si>
  <si>
    <t>C1.2.4</t>
  </si>
  <si>
    <t>Stakeholder liaison</t>
  </si>
  <si>
    <t>C1.2.5</t>
  </si>
  <si>
    <t>Safety</t>
  </si>
  <si>
    <t>C1.2.5.1</t>
  </si>
  <si>
    <t>Health &amp; safety plan</t>
  </si>
  <si>
    <t>C1.2.5.2</t>
  </si>
  <si>
    <t>Implementation of Health &amp; safety plan</t>
  </si>
  <si>
    <t>C1.2.6</t>
  </si>
  <si>
    <t>Work adjacent to properties</t>
  </si>
  <si>
    <t>C1.2.6.1</t>
  </si>
  <si>
    <t>Survey of adjacent properties</t>
  </si>
  <si>
    <t>C1.2.6.2</t>
  </si>
  <si>
    <t>Preventive and/ or mitigation measures</t>
  </si>
  <si>
    <t>C1.2.6.3</t>
  </si>
  <si>
    <t xml:space="preserve"> Handling costs and profit in respect of subitem 1.2.6.2</t>
  </si>
  <si>
    <t>C1.2.8</t>
  </si>
  <si>
    <t>Dayworks</t>
  </si>
  <si>
    <t>C1.2.8.1</t>
  </si>
  <si>
    <t>(a) Unskilled labourer</t>
  </si>
  <si>
    <t>C1.2.1.2</t>
  </si>
  <si>
    <t>Dedicated environmental officer</t>
  </si>
  <si>
    <t>Programming and Reporting</t>
  </si>
  <si>
    <t>C1.2.2</t>
  </si>
  <si>
    <t>Submission of a scheme 2  initial Programme</t>
  </si>
  <si>
    <t>C1.2.2.3</t>
  </si>
  <si>
    <t>C1.2.2.4</t>
  </si>
  <si>
    <t>Submission of a scheme 2  Full Programme</t>
  </si>
  <si>
    <t>C1.2.2.5</t>
  </si>
  <si>
    <t>Reviewing and updating scheme 2 Programme every month</t>
  </si>
  <si>
    <t>C1.2.3</t>
  </si>
  <si>
    <t>Routine and maintenance of existing public  roads within the site of the works or other public roads outside the site of work which are used as detour</t>
  </si>
  <si>
    <t>L/Sum</t>
  </si>
  <si>
    <t>1.3</t>
  </si>
  <si>
    <t>C1.3.1</t>
  </si>
  <si>
    <t>C1.3.1.1</t>
  </si>
  <si>
    <t>C1.3.1.2</t>
  </si>
  <si>
    <t>C1.3.1.3</t>
  </si>
  <si>
    <t>C1.3.2</t>
  </si>
  <si>
    <t>Contract sign boards</t>
  </si>
  <si>
    <r>
      <t>m</t>
    </r>
    <r>
      <rPr>
        <sz val="9"/>
        <color theme="1"/>
        <rFont val="Calibri"/>
        <family val="2"/>
      </rPr>
      <t>²</t>
    </r>
  </si>
  <si>
    <t>C1.2.8.2</t>
  </si>
  <si>
    <t>Construction equipment</t>
  </si>
  <si>
    <t>C1.2.8.3</t>
  </si>
  <si>
    <t>Vehicles</t>
  </si>
  <si>
    <t>(b) Contractor's handling cost profit and all other charges in respect of item C1.2.8.4(a)</t>
  </si>
  <si>
    <t>PSC 1.2.10</t>
  </si>
  <si>
    <t>Community Participation</t>
  </si>
  <si>
    <t>(a) Cost for community participation (PLC &amp; CLO)</t>
  </si>
  <si>
    <t>1.4</t>
  </si>
  <si>
    <t>FACILITIES FOR THE ENGINEER</t>
  </si>
  <si>
    <t>C1.4.1.1</t>
  </si>
  <si>
    <t>Offices and conference room:</t>
  </si>
  <si>
    <t>C1.4.1.7</t>
  </si>
  <si>
    <t>Ablution unit</t>
  </si>
  <si>
    <t>C1.4.2</t>
  </si>
  <si>
    <t>Items measured by area</t>
  </si>
  <si>
    <t>C1.4.3</t>
  </si>
  <si>
    <t>Items measured by numbers</t>
  </si>
  <si>
    <t>C1.4.3.1</t>
  </si>
  <si>
    <t>Office swivel chairs</t>
  </si>
  <si>
    <t>Office chair</t>
  </si>
  <si>
    <t>C1.4.3.2</t>
  </si>
  <si>
    <t>C1.4.3.8</t>
  </si>
  <si>
    <t>C1.4.3.11</t>
  </si>
  <si>
    <t>General purpose steel cabinet with shelves lockup</t>
  </si>
  <si>
    <t>C1.4.3.13</t>
  </si>
  <si>
    <t>220/250 volt power outlet pug point</t>
  </si>
  <si>
    <t>C1.4.3.15</t>
  </si>
  <si>
    <t>Single 1 500mm,58-watt fluorescent tube ceiling light</t>
  </si>
  <si>
    <t>C1.4.3.23</t>
  </si>
  <si>
    <t>Fire extinguisher 9,0kg dry powder type</t>
  </si>
  <si>
    <t>C1.4.3.24</t>
  </si>
  <si>
    <t>Air conditioning unit</t>
  </si>
  <si>
    <t>C1.4.3.27</t>
  </si>
  <si>
    <t>Waste paper basket</t>
  </si>
  <si>
    <t>C1.4.3.28</t>
  </si>
  <si>
    <t>UPS/ Voltage stabiliser (2hrs rating)</t>
  </si>
  <si>
    <t>C1.4.3.29</t>
  </si>
  <si>
    <t>A3/A4 colour printer, copier, scanner</t>
  </si>
  <si>
    <t>C1.4.3.30</t>
  </si>
  <si>
    <t>A4 colour printer, copier , scanner</t>
  </si>
  <si>
    <t>C1.4.3.31</t>
  </si>
  <si>
    <t>Rain guage</t>
  </si>
  <si>
    <t>C1.4.3.32</t>
  </si>
  <si>
    <t xml:space="preserve"> Maximum/minimum atmospheric temperature gauge</t>
  </si>
  <si>
    <t xml:space="preserve"> Digital thermometer/ for surface temperature measurement</t>
  </si>
  <si>
    <t>C1.4.3.33</t>
  </si>
  <si>
    <t>C1.4.3.35</t>
  </si>
  <si>
    <t>C1.4.3.36</t>
  </si>
  <si>
    <t>Measuring wheel</t>
  </si>
  <si>
    <t>First aid kit</t>
  </si>
  <si>
    <t>C1.4.3.37</t>
  </si>
  <si>
    <t>C1.4.4.</t>
  </si>
  <si>
    <t xml:space="preserve"> 3 m aluminium straight edge complete with aluminium measuring wedges</t>
  </si>
  <si>
    <t xml:space="preserve"> Prime-cost items &amp; items paid for in a lump sum: </t>
  </si>
  <si>
    <t>The provision of internet connectivity and wifi data for Engineer's site staff</t>
  </si>
  <si>
    <t>C1.4.4.5</t>
  </si>
  <si>
    <t>The provision of paper and ink for combination colour orinter/copier/scanner</t>
  </si>
  <si>
    <t>C1.4.4.7</t>
  </si>
  <si>
    <t>C1.4.4.6</t>
  </si>
  <si>
    <t xml:space="preserve"> Handling costs &amp; profit in respect of subitem C1.4.4.5</t>
  </si>
  <si>
    <t>C1.4.4.8</t>
  </si>
  <si>
    <t xml:space="preserve"> Handling costs &amp; profit in respect of subitem C1.4.4.8</t>
  </si>
  <si>
    <t>C1.4.4.9</t>
  </si>
  <si>
    <t xml:space="preserve"> Handling costs &amp; profit in respect of subitem C1.4.4.9</t>
  </si>
  <si>
    <t>C1.4.4.10</t>
  </si>
  <si>
    <t>C1.4.5</t>
  </si>
  <si>
    <t>Services at site offices, laboratories and site accommodation</t>
  </si>
  <si>
    <t>Fixed costs</t>
  </si>
  <si>
    <t>C1.4.5.1</t>
  </si>
  <si>
    <t>Running costs</t>
  </si>
  <si>
    <t>C1.4.5.2</t>
  </si>
  <si>
    <t xml:space="preserve">L/Sum </t>
  </si>
  <si>
    <t>C1.4.6</t>
  </si>
  <si>
    <t>Office Staff</t>
  </si>
  <si>
    <t>C1.4.6.2</t>
  </si>
  <si>
    <t>Technical assistant sourced with the area</t>
  </si>
  <si>
    <t>C1.4.8</t>
  </si>
  <si>
    <t>Site security measures for the Engineer's facilities</t>
  </si>
  <si>
    <t>C1.4.8.1</t>
  </si>
  <si>
    <t>Supply and installation of all required security measures at the Engineer's site offices and laboratories</t>
  </si>
  <si>
    <t>C1.4.8.2</t>
  </si>
  <si>
    <t>Provision of security guards/ watchmen and an armed response service at the Engineer's site offices and laboratories</t>
  </si>
  <si>
    <t>C4.4</t>
  </si>
  <si>
    <t>COMMERCIAL MATERIALS</t>
  </si>
  <si>
    <t>C4.4.2</t>
  </si>
  <si>
    <t>C4.4.2.1</t>
  </si>
  <si>
    <t>Pavement layer material</t>
  </si>
  <si>
    <t>C5.4</t>
  </si>
  <si>
    <t>STABILIZATION</t>
  </si>
  <si>
    <t>C5.4.2.1</t>
  </si>
  <si>
    <t>C5.4.10</t>
  </si>
  <si>
    <t>Provision and application of water for curing</t>
  </si>
  <si>
    <t>C8.1</t>
  </si>
  <si>
    <t>C8.1.1</t>
  </si>
  <si>
    <t>C8.1.1.2</t>
  </si>
  <si>
    <t>C8.1.2</t>
  </si>
  <si>
    <t>C8.1.2.2</t>
  </si>
  <si>
    <t>C8.1.3</t>
  </si>
  <si>
    <t>Extra over item C8.1.1 for applying the prime coat in areas accessible only to hand held equipment</t>
  </si>
  <si>
    <t>C11.9</t>
  </si>
  <si>
    <t>C11.9.1</t>
  </si>
  <si>
    <t>C1.5</t>
  </si>
  <si>
    <t>C1.5.7.1</t>
  </si>
  <si>
    <t>Delineators including mounting bases and ballast</t>
  </si>
  <si>
    <t>C1.5.7.3</t>
  </si>
  <si>
    <t>C1.5.7.4</t>
  </si>
  <si>
    <t>Traffic controllers</t>
  </si>
  <si>
    <t>C1.5.7.5</t>
  </si>
  <si>
    <t>Provision of illuminated traffic signs</t>
  </si>
  <si>
    <t>C1.5.7.6</t>
  </si>
  <si>
    <t>Mantainance of illuminated traffic signs</t>
  </si>
  <si>
    <t>b) Flashing LED illuminated arrow bard</t>
  </si>
  <si>
    <t>C1.5.7.9</t>
  </si>
  <si>
    <t>Cleaning of traffic control facilities</t>
  </si>
  <si>
    <t>C1.5.8</t>
  </si>
  <si>
    <t>Traffic safety officer</t>
  </si>
  <si>
    <t>Traffic safety vehicle</t>
  </si>
  <si>
    <t>C1.5.9</t>
  </si>
  <si>
    <t>C1.5.11</t>
  </si>
  <si>
    <t>Provision of safety equipment for visitors</t>
  </si>
  <si>
    <t>C1.5.11.1</t>
  </si>
  <si>
    <t>Provision of reflective safety vest</t>
  </si>
  <si>
    <t>C1.5.12</t>
  </si>
  <si>
    <t>Additional traffic accommodation facilities ordered by Engineer</t>
  </si>
  <si>
    <t>C1.5.12.1</t>
  </si>
  <si>
    <t>Provision of additional traffic accommodation facilities ordered by Engineer</t>
  </si>
  <si>
    <t>C1.5.12.2</t>
  </si>
  <si>
    <t>C1.5.5</t>
  </si>
  <si>
    <t>C1.5.5.9</t>
  </si>
  <si>
    <t>Grading of temporary deviations and existing road used as detour</t>
  </si>
  <si>
    <t>C1.5.5.10</t>
  </si>
  <si>
    <t>Watering of temporary deviations and existing roads used as detours</t>
  </si>
  <si>
    <t>C1.5.5.11</t>
  </si>
  <si>
    <t>Other road mintainance work ordered by the engineer</t>
  </si>
  <si>
    <t>C1.5.5.12</t>
  </si>
  <si>
    <t>C1.5.7</t>
  </si>
  <si>
    <t>Temporary traffic control facilities</t>
  </si>
  <si>
    <t>Provision of hard hats for visitors</t>
  </si>
  <si>
    <t>GENERAL REQUIREMENTS AND TRENCHING FOR SERVICES</t>
  </si>
  <si>
    <t>C2.1.1</t>
  </si>
  <si>
    <t>PC/Sum</t>
  </si>
  <si>
    <t>C2.1.1.4</t>
  </si>
  <si>
    <t>Permanent service relocation or protection work by contractor</t>
  </si>
  <si>
    <t>Handling cost and profit  in respect of item C2.1.1.4</t>
  </si>
  <si>
    <t>C2.1.1.5</t>
  </si>
  <si>
    <t>C2.1.2</t>
  </si>
  <si>
    <t>Existing services detention and verification</t>
  </si>
  <si>
    <t>C2.1.2.3</t>
  </si>
  <si>
    <t>Survey to verify existing service positions</t>
  </si>
  <si>
    <t>Handling cost and profit  in respect of item C2.1.2.3</t>
  </si>
  <si>
    <t>C2.1.2.4</t>
  </si>
  <si>
    <t>C2.1.2.5</t>
  </si>
  <si>
    <t>Using hand excavation to locate, expose and verify services</t>
  </si>
  <si>
    <t>C2.1.3</t>
  </si>
  <si>
    <t>Obtaining construction or workpermit</t>
  </si>
  <si>
    <t>C2.1.27</t>
  </si>
  <si>
    <t>Demolition of existing manholes, access chambers and other service structures consists of:</t>
  </si>
  <si>
    <t>C2.1.27.1</t>
  </si>
  <si>
    <t>Unreinforced concrete</t>
  </si>
  <si>
    <t>Reinforced concrete</t>
  </si>
  <si>
    <t>In layer thicknesses exceeding 200mm</t>
  </si>
  <si>
    <t>ROADBED</t>
  </si>
  <si>
    <t>C5.1</t>
  </si>
  <si>
    <t>C5.1.1</t>
  </si>
  <si>
    <t>Roadbed  construction and compaction</t>
  </si>
  <si>
    <t>Compaction of in-situ material to 90% of Mod AASHTO</t>
  </si>
  <si>
    <t>C5.1.1.1</t>
  </si>
  <si>
    <t>e) Hard excavtion by blasting</t>
  </si>
  <si>
    <t>Removal of unsuitable material to spoil</t>
  </si>
  <si>
    <t>C5.1.4.</t>
  </si>
  <si>
    <t>C5.1.4.2</t>
  </si>
  <si>
    <t>C5.1.5</t>
  </si>
  <si>
    <t>In situ treatment of the roadbed in hard material</t>
  </si>
  <si>
    <t>C5.1.5.1</t>
  </si>
  <si>
    <t>C5.1.6</t>
  </si>
  <si>
    <t>Roller pass compaction</t>
  </si>
  <si>
    <t>C5.1.6.1</t>
  </si>
  <si>
    <t>Grid roller</t>
  </si>
  <si>
    <t>C5.2</t>
  </si>
  <si>
    <t>FILL</t>
  </si>
  <si>
    <t>C5.2.2</t>
  </si>
  <si>
    <t>Fill construction</t>
  </si>
  <si>
    <t>C5.2.2.1</t>
  </si>
  <si>
    <t>Normal fill material in compacted layer thickness of 200mm and less</t>
  </si>
  <si>
    <t>C5.2.2.4</t>
  </si>
  <si>
    <t>Rock fill material as per clause A5.2.7.6</t>
  </si>
  <si>
    <t>C5.2.6</t>
  </si>
  <si>
    <t>Fill material in the shoulder widening</t>
  </si>
  <si>
    <t>C5.2.6.1</t>
  </si>
  <si>
    <t>Fill material in the shoulder widening compacted to 93% MDD</t>
  </si>
  <si>
    <t>C5.3</t>
  </si>
  <si>
    <t>ROAD PAVEMENT LAYERS</t>
  </si>
  <si>
    <t>C5.3.1</t>
  </si>
  <si>
    <t>Compiling and implementing M&amp;U plans for the construction of all the pavement layers</t>
  </si>
  <si>
    <t>C5.3.2</t>
  </si>
  <si>
    <t>Construction of pavement layers</t>
  </si>
  <si>
    <t>C5.3.2.1</t>
  </si>
  <si>
    <t>Construction of layers using conventional construction methods</t>
  </si>
  <si>
    <t>C5.4.5</t>
  </si>
  <si>
    <t>Cementitious stabilizing agents for pavement layers</t>
  </si>
  <si>
    <t>C5.4.5.2</t>
  </si>
  <si>
    <t>C20.1</t>
  </si>
  <si>
    <t>TESTING MATERIAL AND JUDGEMENT OF WORKMANSHIP</t>
  </si>
  <si>
    <t>C20.1.2.2</t>
  </si>
  <si>
    <t>Employer's contribution to other special tests</t>
  </si>
  <si>
    <t>PC</t>
  </si>
  <si>
    <t>b) Handling costs and profit in respect of item C20.1.2.2(a)</t>
  </si>
  <si>
    <t>C1.5.2</t>
  </si>
  <si>
    <t>The provision of complete 220/250-volt double phase electrical power installation, including all poles insulator wiring switchboards, main connection meter etc</t>
  </si>
  <si>
    <t>Location, identification and relocation of existing services</t>
  </si>
  <si>
    <t>C1.2.2.6</t>
  </si>
  <si>
    <t>Preparation and submission of all project report</t>
  </si>
  <si>
    <t>C1.2.3.3</t>
  </si>
  <si>
    <t>Cleaning of culverts</t>
  </si>
  <si>
    <t>C1.2.3.9</t>
  </si>
  <si>
    <t>Grading of temporary gravel deviations and 
existing roads used as detours</t>
  </si>
  <si>
    <t>C1.2.3.10</t>
  </si>
  <si>
    <t>Watering of temporary gravel deviations and 
existing roads used as detours</t>
  </si>
  <si>
    <t>L/sum</t>
  </si>
  <si>
    <t>(b) Semi-skilled labourer</t>
  </si>
  <si>
    <t>(c) Skilled labourer</t>
  </si>
  <si>
    <t>(d) Gang leader</t>
  </si>
  <si>
    <t>(e) Foreman</t>
  </si>
  <si>
    <t>(f) Skilled Artisan</t>
  </si>
  <si>
    <t>(e) Tractor loader backhoe 4 x 4 (55 kW)</t>
  </si>
  <si>
    <t>(f) Excavator (125 kW)</t>
  </si>
  <si>
    <t>(g) Compressor (450 cfm with hoses and tools)</t>
  </si>
  <si>
    <t xml:space="preserve"> (i) Bulldozer (125 kW)</t>
  </si>
  <si>
    <t>(iv) Concrete Mixer (250 l) Springbok</t>
  </si>
  <si>
    <t>(v) Pedestrian Roller (700 kg)</t>
  </si>
  <si>
    <t>(ii) Water pump (75 mm diameter with 50 m hose)</t>
  </si>
  <si>
    <t xml:space="preserve">(h) Other equipment </t>
  </si>
  <si>
    <t>(a) Light delivery vehicle</t>
  </si>
  <si>
    <t>C1.4.3.5</t>
  </si>
  <si>
    <t>Office desk with 3 drawers (at least one lockable drawer)</t>
  </si>
  <si>
    <t>C1.4.3.17</t>
  </si>
  <si>
    <t>11 watt compact fluorescent bulb ceiling light</t>
  </si>
  <si>
    <t>C1.5.1</t>
  </si>
  <si>
    <t>Accommodation of pedestrian and non-motorised
traffic</t>
  </si>
  <si>
    <t>C1.5.4</t>
  </si>
  <si>
    <t>Construction of temporary deviations</t>
  </si>
  <si>
    <t>Maintenance of temporary deviations</t>
  </si>
  <si>
    <t>C1.5.5.1</t>
  </si>
  <si>
    <t>C1.5.5.3</t>
  </si>
  <si>
    <t>Cleaning out culverts</t>
  </si>
  <si>
    <r>
      <t>m</t>
    </r>
    <r>
      <rPr>
        <sz val="9"/>
        <rFont val="Arial Narrow"/>
        <family val="2"/>
      </rPr>
      <t>³</t>
    </r>
  </si>
  <si>
    <t>Handling cost, profit and all other charges in respect of
 item C1.5.5.11</t>
  </si>
  <si>
    <t>Traffic cones, minimum height 750mm</t>
  </si>
  <si>
    <t>C1.5.7.2</t>
  </si>
  <si>
    <t xml:space="preserve"> Flagmen</t>
  </si>
  <si>
    <t>a) Sign mounted flashing amber lights (a pair of two 
lights mounted on a separate back board)</t>
  </si>
  <si>
    <t>(f) Mobile variable message sign with a speed 
measuring and display capability</t>
  </si>
  <si>
    <t>(e) Mobile variable message sign</t>
  </si>
  <si>
    <t>C1.5.7.7</t>
  </si>
  <si>
    <t>Traffic calming devices:</t>
  </si>
  <si>
    <t>(a) 25 mm high x 100 mm wide asphalt rumble strips</t>
  </si>
  <si>
    <t>(b) 50 mm high x 500 m wide asphalt rumble strips</t>
  </si>
  <si>
    <t>(c) 150 mm high x 3 m wide asphalt speed control humps</t>
  </si>
  <si>
    <t>Man-month</t>
  </si>
  <si>
    <t>C1.5.11.2</t>
  </si>
  <si>
    <t>Handling cost profit and all other charges in respect 
of item C1.5.12.1</t>
  </si>
  <si>
    <r>
      <t>m</t>
    </r>
    <r>
      <rPr>
        <sz val="9"/>
        <rFont val="Arial Narrow"/>
        <family val="2"/>
      </rPr>
      <t>²</t>
    </r>
  </si>
  <si>
    <t>C2.1.27.3</t>
  </si>
  <si>
    <t>C2.1.27.2</t>
  </si>
  <si>
    <t>Masonry</t>
  </si>
  <si>
    <t>C5.1.3</t>
  </si>
  <si>
    <t>Excavate material to spoil sites designated by the Contractor</t>
  </si>
  <si>
    <t>C5.1.3.1</t>
  </si>
  <si>
    <t>(a) Soft excavation</t>
  </si>
  <si>
    <t>(d) Hard excavtion other than blasting</t>
  </si>
  <si>
    <t>(a) Stable material</t>
  </si>
  <si>
    <t xml:space="preserve">(a) In-situ treatment by ripping </t>
  </si>
  <si>
    <t>(b) Unstable material</t>
  </si>
  <si>
    <t>C5.1.6.3</t>
  </si>
  <si>
    <t>Smooth drum vibratory rollers</t>
  </si>
  <si>
    <t>C5.4.2</t>
  </si>
  <si>
    <t>Chemical stabilisation</t>
  </si>
  <si>
    <t>Additional of cementitious stabilization agents (NPC cement for pavement layer and spreading the agent using bags and labour enhancement methods)</t>
  </si>
  <si>
    <t>C10.1</t>
  </si>
  <si>
    <t>SURFACE TREATMENT</t>
  </si>
  <si>
    <t>C10.1.3</t>
  </si>
  <si>
    <t>C10.1.3.1</t>
  </si>
  <si>
    <t>Multiple stone seals including a cover spray, if specified using</t>
  </si>
  <si>
    <t>20 mm and 10 mm aggregate (Grade 1 and 70/100 Penetration Grade Bitumen)</t>
  </si>
  <si>
    <t>C10.1.9</t>
  </si>
  <si>
    <t>Bituminous binder variations</t>
  </si>
  <si>
    <t>C10.1.9.1</t>
  </si>
  <si>
    <t>70/100 Penetration grade bitumen</t>
  </si>
  <si>
    <t>C10.1.9.11</t>
  </si>
  <si>
    <t>C10.1.10</t>
  </si>
  <si>
    <t>C10.1.10.3</t>
  </si>
  <si>
    <t>10 mm aggregate</t>
  </si>
  <si>
    <t>C10.1.10.5</t>
  </si>
  <si>
    <t>20 mm aggregate</t>
  </si>
  <si>
    <t>C10.1.11</t>
  </si>
  <si>
    <t>Application of cover spray</t>
  </si>
  <si>
    <t>C10.1.11.3</t>
  </si>
  <si>
    <t>C10.1.13</t>
  </si>
  <si>
    <t>Precoating of aggregate using a dedicated plant</t>
  </si>
  <si>
    <t>C10.1.13.1</t>
  </si>
  <si>
    <t>C10.1.13.2</t>
  </si>
  <si>
    <t>C10.1.17</t>
  </si>
  <si>
    <t>C10.1.17.1</t>
  </si>
  <si>
    <t>Natural sand</t>
  </si>
  <si>
    <t>(i) Lower subbase gravel layer (unstabilised),150mm G7 layer compacted to 95 % of MDD</t>
  </si>
  <si>
    <t>(a) Lower selected subgrade layer 150mm G9 layer compacted to 93% MDD</t>
  </si>
  <si>
    <t>C11.9.1.2</t>
  </si>
  <si>
    <t>(a) Single carriageway road</t>
  </si>
  <si>
    <t>(a) Motor grader (112 kW)</t>
  </si>
  <si>
    <t>(b) Vibratory Roller (Bomag 212 or similar)</t>
  </si>
  <si>
    <t>(d) Front end loader (60 Kw)</t>
  </si>
  <si>
    <r>
      <t>(iii) Tipper Truck (6 m</t>
    </r>
    <r>
      <rPr>
        <sz val="9"/>
        <rFont val="Arial Narrow"/>
        <family val="2"/>
      </rPr>
      <t>³</t>
    </r>
    <r>
      <rPr>
        <sz val="11.7"/>
        <rFont val="Arial"/>
        <family val="2"/>
      </rPr>
      <t>)</t>
    </r>
  </si>
  <si>
    <t>(b) Flatbed truck (8t)</t>
  </si>
  <si>
    <t>(b) Handling costs and profit in respect of subitem 1.2.3.11</t>
  </si>
  <si>
    <t>Conference table (7.5m x2.0m)</t>
  </si>
  <si>
    <t>(a) Single sided reversible left or right
     (800mm x 200mm)</t>
  </si>
  <si>
    <t>b) Double sided reversible left or right 
    (800mm x 200mm)</t>
  </si>
  <si>
    <t>c) Illuminated road sign – R &amp; TR series (900mm)</t>
  </si>
  <si>
    <t>d) Illuminated road sign – TW series (1200mm sides)</t>
  </si>
  <si>
    <t>(b) Type G7 Material</t>
  </si>
  <si>
    <t>(c) Type G9 Material</t>
  </si>
  <si>
    <t>(a) Type G4 Material</t>
  </si>
  <si>
    <t>b) In-situ treatment by blasting</t>
  </si>
  <si>
    <t>a) Compacted to 90%MDD</t>
  </si>
  <si>
    <t>Rockfill Material</t>
  </si>
  <si>
    <t xml:space="preserve">(n) Gravel base layer (chemically stabilised), 200mm G4 layer compacted to 97 % of MDD (Chemically Stablised to C3) </t>
  </si>
  <si>
    <t>Chemical stabilization (200mm layer thickness subbase layer to be stabilised)</t>
  </si>
  <si>
    <t>(a) Cement (NPC CEM III/A 32.5 N)</t>
  </si>
  <si>
    <t>River sand</t>
  </si>
  <si>
    <t>10.1</t>
  </si>
  <si>
    <t>Precoating fluid (Petroleum Based)</t>
  </si>
  <si>
    <t>Aggregate variation (Grade 1)</t>
  </si>
  <si>
    <t>Diluted Cationic spray-grade emulsion (30 % bitumen and dilution in % emulsion/%water)</t>
  </si>
  <si>
    <t>Product containing low flashpoint solvent (Petroleum Based) 10mm Aggregate</t>
  </si>
  <si>
    <t>Product containing no low flashpoint solvent (Petroleum Based) 20mm Aggregate</t>
  </si>
  <si>
    <t>11.9</t>
  </si>
  <si>
    <t>20.1</t>
  </si>
  <si>
    <t>(a) Test Required by Engineer</t>
  </si>
  <si>
    <t>DISTRICT ROAD D1841 PHASE 1B EMPANGENI REGION</t>
  </si>
  <si>
    <t>SCHEDULE D: DAYWORKS</t>
  </si>
  <si>
    <t>SCHEDULE D</t>
  </si>
  <si>
    <t>SCHEDULE F</t>
  </si>
  <si>
    <t>F1000</t>
  </si>
  <si>
    <t>(e) Transportation and accommodation costs of selected learners only, while receiving off-site training:</t>
  </si>
  <si>
    <t>SCHEDULE G</t>
  </si>
  <si>
    <t>CONTRACT PARTICIPATION GOALS</t>
  </si>
  <si>
    <t xml:space="preserve">(a) Contractor's charge for the management and execution of the Targeted Enterprise procurement process: </t>
  </si>
  <si>
    <r>
      <t xml:space="preserve">(i) Procurement process for totality of all tenders concluded for the appointment of CIDB contractor grading designation </t>
    </r>
    <r>
      <rPr>
        <b/>
        <sz val="9"/>
        <rFont val="Arial"/>
        <family val="2"/>
      </rPr>
      <t>1CE PE</t>
    </r>
    <r>
      <rPr>
        <sz val="9"/>
        <rFont val="Arial"/>
        <family val="2"/>
      </rPr>
      <t xml:space="preserve"> Targeted Enterprise subcontractors (</t>
    </r>
    <r>
      <rPr>
        <b/>
        <sz val="9"/>
        <rFont val="Arial"/>
        <family val="2"/>
      </rPr>
      <t>1</t>
    </r>
    <r>
      <rPr>
        <sz val="9"/>
        <rFont val="Arial"/>
        <family val="2"/>
      </rPr>
      <t xml:space="preserve"> x individual tenders prescribed, 100 copies of the tender doc required for each individual tender)</t>
    </r>
  </si>
  <si>
    <r>
      <t xml:space="preserve">(ii) Procurement process for the totality of all tenders concluded for the appointment of CIDB contractor grading designation </t>
    </r>
    <r>
      <rPr>
        <b/>
        <sz val="9"/>
        <rFont val="Arial"/>
        <family val="2"/>
      </rPr>
      <t>2CE PE</t>
    </r>
    <r>
      <rPr>
        <sz val="9"/>
        <rFont val="Arial"/>
        <family val="2"/>
      </rPr>
      <t xml:space="preserve"> Targeted Enterprise subcontractors (</t>
    </r>
    <r>
      <rPr>
        <b/>
        <sz val="9"/>
        <rFont val="Arial"/>
        <family val="2"/>
      </rPr>
      <t>2</t>
    </r>
    <r>
      <rPr>
        <sz val="9"/>
        <rFont val="Arial"/>
        <family val="2"/>
      </rPr>
      <t xml:space="preserve"> x individual tenders prescribed, 80 copies of the tender doc required for each individual tender)</t>
    </r>
  </si>
  <si>
    <r>
      <t xml:space="preserve">(iii) Procurement process for the totality of all tenders concluded for the appointment of CIDB contractor grading designation </t>
    </r>
    <r>
      <rPr>
        <b/>
        <sz val="9"/>
        <rFont val="Arial"/>
        <family val="2"/>
      </rPr>
      <t>3CE PE</t>
    </r>
    <r>
      <rPr>
        <sz val="9"/>
        <rFont val="Arial"/>
        <family val="2"/>
      </rPr>
      <t xml:space="preserve"> Targeted Enterprise subcontractors (</t>
    </r>
    <r>
      <rPr>
        <b/>
        <sz val="9"/>
        <rFont val="Arial"/>
        <family val="2"/>
      </rPr>
      <t>3</t>
    </r>
    <r>
      <rPr>
        <sz val="9"/>
        <rFont val="Arial"/>
        <family val="2"/>
      </rPr>
      <t xml:space="preserve"> x individual tenders prescribed, 60 copies of the tender doc required for each individual tender)</t>
    </r>
  </si>
  <si>
    <r>
      <t xml:space="preserve">(iv) Procurement process for the totality of all tenders concluded for the appointment of CIDB contractor grading designation </t>
    </r>
    <r>
      <rPr>
        <b/>
        <sz val="9"/>
        <rFont val="Arial"/>
        <family val="2"/>
      </rPr>
      <t>4CE PE</t>
    </r>
    <r>
      <rPr>
        <sz val="9"/>
        <rFont val="Arial"/>
        <family val="2"/>
      </rPr>
      <t xml:space="preserve"> Targeted Enterprise subcontractors (</t>
    </r>
    <r>
      <rPr>
        <b/>
        <sz val="9"/>
        <rFont val="Arial"/>
        <family val="2"/>
      </rPr>
      <t>zero</t>
    </r>
    <r>
      <rPr>
        <sz val="9"/>
        <rFont val="Arial"/>
        <family val="2"/>
      </rPr>
      <t xml:space="preserve"> individual tenders prescribed, 50 copies of the tender doc required for each individual tender)</t>
    </r>
  </si>
  <si>
    <r>
      <t xml:space="preserve">(v) Procurement process for the totality of all tenders concluded for the appointment of CIDB contractor grading designation </t>
    </r>
    <r>
      <rPr>
        <b/>
        <sz val="9"/>
        <rFont val="Arial"/>
        <family val="2"/>
      </rPr>
      <t>5CE PE</t>
    </r>
    <r>
      <rPr>
        <sz val="9"/>
        <rFont val="Arial"/>
        <family val="2"/>
      </rPr>
      <t xml:space="preserve"> Targeted Enterprise subcontractors (</t>
    </r>
    <r>
      <rPr>
        <b/>
        <sz val="9"/>
        <rFont val="Arial"/>
        <family val="2"/>
      </rPr>
      <t>zero</t>
    </r>
    <r>
      <rPr>
        <sz val="9"/>
        <rFont val="Arial"/>
        <family val="2"/>
      </rPr>
      <t xml:space="preserve"> individual tenders prescribed, 40 copies of the tender doc required for each individual tender) </t>
    </r>
  </si>
  <si>
    <r>
      <t xml:space="preserve">(vi) Procurement process for the totality of all tenders concluded for the appointment of CIDB contractor grading designation </t>
    </r>
    <r>
      <rPr>
        <b/>
        <sz val="9"/>
        <rFont val="Arial"/>
        <family val="2"/>
      </rPr>
      <t>6CE PE</t>
    </r>
    <r>
      <rPr>
        <sz val="9"/>
        <rFont val="Arial"/>
        <family val="2"/>
      </rPr>
      <t xml:space="preserve"> Targeted Enterprise subcontractors (</t>
    </r>
    <r>
      <rPr>
        <b/>
        <sz val="9"/>
        <rFont val="Arial"/>
        <family val="2"/>
      </rPr>
      <t>zero</t>
    </r>
    <r>
      <rPr>
        <sz val="9"/>
        <rFont val="Arial"/>
        <family val="2"/>
      </rPr>
      <t xml:space="preserve"> individual tenders prescribed, 40 copies of the tender doc required for each individual tender)</t>
    </r>
  </si>
  <si>
    <t>Construction Works for Targeted Enterprises</t>
  </si>
  <si>
    <t>P C Sum</t>
  </si>
  <si>
    <t>(e) Management of Targeted Enterprise subcontractors</t>
  </si>
  <si>
    <t>Sum</t>
  </si>
  <si>
    <t>Training of learners employed by the main contractor or by the Targeted Enterprise subcontractors:</t>
  </si>
  <si>
    <t>(a)  Generic Skills.</t>
  </si>
  <si>
    <t>(i)  Training costs</t>
  </si>
  <si>
    <t>(b)  Entrepreneurial skills:</t>
  </si>
  <si>
    <t>(c)  Construction skills:</t>
  </si>
  <si>
    <t>(d)  Transportation and accommodation costs of selected leaners only, while receiving off-site training:</t>
  </si>
  <si>
    <t>(i)  Transportation and accommodation costs</t>
  </si>
  <si>
    <t>(i) Transportation and accommodation costs</t>
  </si>
  <si>
    <t>C2.3 SUMMARY OF BILL OF QUANTITIES</t>
  </si>
  <si>
    <t>TOTAL SCHEDULE A: ROADWORKS</t>
  </si>
  <si>
    <t>TOTAL SCHEDULE D: DAYWORKS</t>
  </si>
  <si>
    <t>Subtotal 1</t>
  </si>
  <si>
    <t>Subtotal 2</t>
  </si>
  <si>
    <t>Subtotal 3</t>
  </si>
  <si>
    <t>TOTAL CARRIED FORWARD TO FORM OF OFFER</t>
  </si>
  <si>
    <t xml:space="preserve">Signed on behalf of the Tenderer: ……………………………………………………. (Signature)
Date: …………………………………………………..
Tenderer’s Name: ………………………………………………………………. (Company Name)
</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</si>
  <si>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</si>
  <si>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</si>
  <si>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ESTIMATE</t>
  </si>
  <si>
    <t>G1000</t>
  </si>
  <si>
    <t>Subtotal 4</t>
  </si>
  <si>
    <t>C1.3</t>
  </si>
  <si>
    <t>C2.1</t>
  </si>
  <si>
    <t>C1.4</t>
  </si>
  <si>
    <t>C1.2</t>
  </si>
  <si>
    <t>C6.2</t>
  </si>
  <si>
    <t>SEGMENTAL BLOCK PAVING LAYERS</t>
  </si>
  <si>
    <t>C6.2.2</t>
  </si>
  <si>
    <t>Cast in-situ concrete edge and intermediate beams for bus bays (0,23m H x 0,2m W x 60m L)</t>
  </si>
  <si>
    <t>Footway &amp; Passenger Waiting Area (concrete surface with 2% minimum slope), 0.075mm thickness</t>
  </si>
  <si>
    <t>P.S.C</t>
  </si>
  <si>
    <t>C13.8</t>
  </si>
  <si>
    <t>ANCILLARY STRUCTURAL ELEMENTS</t>
  </si>
  <si>
    <t>Steel Handrailings (mentis or similar), fabricated in hot dipped galvanised mild steel to SABS 763 specification</t>
  </si>
  <si>
    <t>C13.8.5</t>
  </si>
  <si>
    <t>13.8</t>
  </si>
  <si>
    <t>Contract No. ZNQ02549/ZNB01930/23/HOD/INF/24/T</t>
  </si>
  <si>
    <t>Accommodation of vehicular traffic</t>
  </si>
  <si>
    <t>C1.5.4.1</t>
  </si>
  <si>
    <t>Handling cost, profit and all other charges in respect of
 item C1.5.4</t>
  </si>
  <si>
    <t>C1.5.3</t>
  </si>
  <si>
    <t>Liason with Traffic Authorities</t>
  </si>
  <si>
    <t>man-shifts</t>
  </si>
  <si>
    <t>Commercial material identified by the contractor from commercial, private, or other non commercial supplier (commercial source)</t>
  </si>
  <si>
    <t>ZNB02642/00000/00/HOD/INF/25/T</t>
  </si>
  <si>
    <t>Contract No. ZNB02642/00000/00/HOD/INF/25/T</t>
  </si>
  <si>
    <t>COMPLETION OF PARTLY CONSTRUCTED ROAD, PRISM, DRAINAGE, LAYERWORKS AND SURFACING ON DISTRICT ROAD 1841, KM 4.50 TO KM 10.24 IN THE EMPANGENI REGION.</t>
  </si>
  <si>
    <t>Construction of Bus Bays with Shelter as per Drawing SD 0305/C Inclusive of Roadbed, Road Layerworks, Prime, Double Seal, Kerbing, Road Marking and Handrails</t>
  </si>
  <si>
    <t>TOTAL SCHEDULE F: CONTRACT PARTICIPATION GOALS</t>
  </si>
  <si>
    <t>F10.01</t>
  </si>
  <si>
    <t>F10.02</t>
  </si>
  <si>
    <t>SCHEDULE F: CONTRACT PARTICIPATION GOALS</t>
  </si>
  <si>
    <t>F10.03</t>
  </si>
  <si>
    <t>Procurement of Targeted Enterprise subcontractors as described in Part F</t>
  </si>
  <si>
    <t>(a) Payments associated with the construction Works carried out by Targeted Enterprise subcontractors appointed in terms of Part F</t>
  </si>
  <si>
    <t>(b) Handling costs and profit in respect of subitem F10.02(a) above</t>
  </si>
  <si>
    <t>(c) Supply of materials and small plant to assist Targeted Enterprise subcontractors appointed in terms of Part F</t>
  </si>
  <si>
    <t>(d) Handling costs and profit in respect of subitem F10.02(c) above</t>
  </si>
  <si>
    <t>(ii)  Handling costs and profit in respect of subitem F10.03(a)(i)above.</t>
  </si>
  <si>
    <t>(ii)  Handling costs and profit in respect of subitem F10.03(b)(i)above.</t>
  </si>
  <si>
    <t>(ii)  Handling costs and profit in respect of subitem F10.03(c)(i)above.</t>
  </si>
  <si>
    <t>(ii)  Handling costs and profit in respect of subitem F10.02(d)(i)above.</t>
  </si>
  <si>
    <t>(ii) Handling costs and profit in respect of subsubitem F10.03(e)(i) above</t>
  </si>
  <si>
    <t>SCHEDULE G: CONTRACT SKILLS DEVELOPMENT GOAL (CSDG)</t>
  </si>
  <si>
    <t>CONTRACT SKILLS DEVELOPMENT GOAL (CSDG)</t>
  </si>
  <si>
    <t>G7.01</t>
  </si>
  <si>
    <t xml:space="preserve">(a) Employment of Leaners employed   </t>
  </si>
  <si>
    <t>under Method 1:</t>
  </si>
  <si>
    <t>(i) Provision for stipends</t>
  </si>
  <si>
    <t>Number</t>
  </si>
  <si>
    <t xml:space="preserve">(ii) Provision for additional Costs      </t>
  </si>
  <si>
    <t xml:space="preserve">(b) Employment of Leaners employed   </t>
  </si>
  <si>
    <t>under Method 2:</t>
  </si>
  <si>
    <t xml:space="preserve">(c) Employment of Leaners employed   </t>
  </si>
  <si>
    <t>under Method 3</t>
  </si>
  <si>
    <t>(ii) Provisions for mentorship</t>
  </si>
  <si>
    <t>(iii) Provisions for additional Costs</t>
  </si>
  <si>
    <t xml:space="preserve">(d) Employment of Leaners employed   </t>
  </si>
  <si>
    <t>under Method 4</t>
  </si>
  <si>
    <t>CONTRACT SKILLS DEVELOPMENT GOAL (CSDG) (0.25% of SUBTOTAL 1)</t>
  </si>
  <si>
    <t>VAT (15% of Subtotal 4)</t>
  </si>
  <si>
    <t>PSC1.2.11</t>
  </si>
  <si>
    <t>Maintenance of the new road during the defect liability period</t>
  </si>
  <si>
    <t>Prov/Sum</t>
  </si>
  <si>
    <t>PSC1.2.11.1</t>
  </si>
  <si>
    <t>(i) Grass cutting</t>
  </si>
  <si>
    <t>PSC1.2.11.1.1</t>
  </si>
  <si>
    <t>PSC1.2.11.2</t>
  </si>
  <si>
    <t>PSC1.2.11.2.1</t>
  </si>
  <si>
    <t>(i) Drain cleaning</t>
  </si>
  <si>
    <t>PSC1.2.11.3</t>
  </si>
  <si>
    <t>PSC1.2.11.3.1</t>
  </si>
  <si>
    <t>PSC1.2.11.4</t>
  </si>
  <si>
    <t>PSC1.2.11.4.1</t>
  </si>
  <si>
    <t>PSC1.2.11.5</t>
  </si>
  <si>
    <t>PSC1.2.11.5.1</t>
  </si>
  <si>
    <t>PSC1.2.11.6</t>
  </si>
  <si>
    <t>PSC1.2.11.6.1</t>
  </si>
  <si>
    <t>PSC1.2.11.7</t>
  </si>
  <si>
    <t>PSC1.2.11.7.1</t>
  </si>
  <si>
    <t>(i) Cleaning out culverts</t>
  </si>
  <si>
    <t>(i) Repair of Guardrails</t>
  </si>
  <si>
    <t>(i) Replacement of Road Studs</t>
  </si>
  <si>
    <t>(i) Road Marking</t>
  </si>
  <si>
    <t>(i) Repair of Road Signs</t>
  </si>
  <si>
    <t>(ii) Handling cost, profit and all other charges in respect of  item PSC1.2.11.2 (i)</t>
  </si>
  <si>
    <t>(ii) Handling cost, profit and all other charges in respect of  item PSC1.2.11.1 (i)</t>
  </si>
  <si>
    <t>(ii) Handling costs and profit in respect of item PSC1.2.11.5 (i)</t>
  </si>
  <si>
    <t>(ii) Handling costs and profit in respect of item PSC1.2.11.4 (i)</t>
  </si>
  <si>
    <t>(ii) Handling costs and profit in respect of item PSC1.2.11.3 (i)</t>
  </si>
  <si>
    <t>(ii) Handling costs and profit in respect of item PSC1.2.11.6 (i)</t>
  </si>
  <si>
    <t>(ii) Handling costs and profit in respect of item PSC1.2.11.7 (i)</t>
  </si>
  <si>
    <t>PCS1.2.11</t>
  </si>
  <si>
    <t>MAINTENANCE OF ROAD DURING DEFECT LIABILITY PERIOD</t>
  </si>
  <si>
    <t>TOTAL SCHEDULE G: CONTRACT SKILLS DEVELOPMENT GOAL (CSDG)                                   (0.25% of subtotal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</si>
</sst>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7" formatCode="&quot;R&quot;#,##0.00;\-&quot;R&quot;#,##0.00"/>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quot;R&quot;\ #,##0.00"/>
    <numFmt numFmtId="168" formatCode="0.0%"/>
    <numFmt numFmtId="169" formatCode="#\ ##0.00"/>
    <numFmt numFmtId="170" formatCode="#\ ##0"/>
    <numFmt numFmtId="171" formatCode="#,##0.00_ ;[Red]\-#,##0.00\ "/>
    <numFmt numFmtId="172" formatCode="_(* #,##0_);_(* \(#,##0\);_(* &quot;-&quot;??_);_(@_)"/>
    <numFmt numFmtId="173" formatCode="0_ ;[Red]\-0\ "/>
    <numFmt numFmtId="174" formatCode="&quot;R&quot;#,##0.00"/>
    <numFmt numFmtId="175" formatCode="[$R-1C09]\ #\ ###\ ##0.00;[Red][$R-1C09]\-#\ ###\ ##0.00"/>
    <numFmt numFmtId="176" formatCode="0.0"/>
    <numFmt numFmtId="177" formatCode="#,##0.00;\-#,##0.00;&quot;- &quot;;@"/>
    <numFmt numFmtId="178" formatCode="&quot;C&quot;00"/>
    <numFmt numFmtId="179" formatCode="#,##0;\-#,##0;&quot; Rate Only &quot;;@"/>
    <numFmt numFmtId="180" formatCode="&quot;C&quot;0"/>
    <numFmt numFmtId="181" formatCode="#,##0.0_ ;\-#,##0.0\ "/>
    <numFmt numFmtId="182" formatCode="#,##0.00_ ;\-#,##0.00\ "/>
    <numFmt numFmtId="183" formatCode="0.0_);[Red]\(0.0\)"/>
    <numFmt numFmtId="184" formatCode="[$R-1C09]#,##0.00"/>
    <numFmt numFmtId="185" formatCode="#,##0;\-#,##0;&quot;Rate Only&quot;;@"/>
    <numFmt numFmtId="186" formatCode="#,##0.000_);\(#,##0.000\)"/>
    <numFmt numFmtId="187" formatCode="_-&quot;R&quot;* #,##0.000_-;\-&quot;R&quot;* #,##0.000_-;_-&quot;R&quot;* &quot;-&quot;???_-;_-@_-"/>
    <numFmt numFmtId="188" formatCode="_-[$R-1C09]* #,##0.00_-;\-[$R-1C09]* #,##0.00_-;_-[$R-1C09]*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b/>
      <sz val="9"/>
      <name val="Arial"/>
      <family val="2"/>
    </font>
    <font>
      <sz val="9"/>
      <name val="MT Extra"/>
      <family val="1"/>
      <charset val="2"/>
    </font>
    <font>
      <b/>
      <u/>
      <sz val="10"/>
      <name val="Times New Roman"/>
      <family val="1"/>
    </font>
    <font>
      <sz val="10"/>
      <name val="Arial"/>
      <family val="2"/>
    </font>
    <font>
      <sz val="8"/>
      <name val="Arial"/>
      <family val="2"/>
    </font>
    <font>
      <i/>
      <u/>
      <sz val="10"/>
      <name val="Times New Roman"/>
      <family val="1"/>
    </font>
    <font>
      <sz val="12"/>
      <name val="Arial"/>
      <family val="2"/>
    </font>
    <font>
      <sz val="9"/>
      <color indexed="8"/>
      <name val="Arial"/>
      <family val="2"/>
    </font>
    <font>
      <sz val="9"/>
      <color theme="1"/>
      <name val="Arial"/>
      <family val="2"/>
    </font>
    <font>
      <sz val="9"/>
      <color rgb="FFFF0000"/>
      <name val="Arial"/>
      <family val="2"/>
    </font>
    <font>
      <b/>
      <sz val="9"/>
      <color indexed="8"/>
      <name val="Arial"/>
      <family val="2"/>
    </font>
    <font>
      <b/>
      <sz val="9"/>
      <color theme="1"/>
      <name val="Arial"/>
      <family val="2"/>
    </font>
    <font>
      <sz val="8"/>
      <color rgb="FF000000"/>
      <name val="Segoe UI"/>
      <family val="2"/>
    </font>
    <font>
      <sz val="9"/>
      <name val="Calibri"/>
      <family val="2"/>
    </font>
    <font>
      <vertAlign val="superscript"/>
      <sz val="10"/>
      <name val="Arial"/>
      <family val="2"/>
    </font>
    <font>
      <sz val="10"/>
      <color rgb="FFFF0000"/>
      <name val="Arial"/>
      <family val="2"/>
    </font>
    <font>
      <sz val="10"/>
      <name val="Calibri"/>
      <family val="2"/>
    </font>
    <font>
      <b/>
      <sz val="10"/>
      <color rgb="FFFF0000"/>
      <name val="Arial"/>
      <family val="2"/>
    </font>
    <font>
      <sz val="10"/>
      <color theme="1"/>
      <name val="Arial"/>
      <family val="2"/>
    </font>
    <font>
      <strike/>
      <sz val="9"/>
      <name val="Arial"/>
      <family val="2"/>
    </font>
    <font>
      <sz val="9"/>
      <color theme="1"/>
      <name val="Calibri"/>
      <family val="2"/>
    </font>
    <font>
      <sz val="9"/>
      <color rgb="FFC00000"/>
      <name val="Arial"/>
      <family val="2"/>
    </font>
    <font>
      <sz val="9"/>
      <color rgb="FFFF0066"/>
      <name val="Arial"/>
      <family val="2"/>
    </font>
    <font>
      <sz val="9"/>
      <color theme="9" tint="-0.249977111117893"/>
      <name val="Arial"/>
      <family val="2"/>
    </font>
    <font>
      <sz val="9"/>
      <name val="Arial Narrow"/>
      <family val="2"/>
    </font>
    <font>
      <sz val="11.7"/>
      <name val="Arial"/>
      <family val="2"/>
    </font>
    <font>
      <b/>
      <sz val="10"/>
      <color rgb="FF000000"/>
      <name val="Arial"/>
      <family val="2"/>
    </font>
    <font>
      <b/>
      <sz val="8"/>
      <color rgb="FF000000"/>
      <name val="Arial"/>
      <family val="2"/>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ck">
        <color auto="1"/>
      </left>
      <right/>
      <top/>
      <bottom/>
      <diagonal/>
    </border>
    <border>
      <left/>
      <right style="thin">
        <color auto="1"/>
      </right>
      <top style="thin">
        <color auto="1"/>
      </top>
      <bottom style="thin">
        <color auto="1"/>
      </bottom>
      <diagonal/>
    </border>
    <border>
      <left/>
      <right style="thin">
        <color indexed="8"/>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auto="1"/>
      </bottom>
      <diagonal/>
    </border>
    <border>
      <left style="medium">
        <color auto="1"/>
      </left>
      <right/>
      <top style="thin">
        <color auto="1"/>
      </top>
      <bottom style="thin">
        <color auto="1"/>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indexed="64"/>
      </right>
      <top/>
      <bottom style="thin">
        <color rgb="FFC0C0C0"/>
      </bottom>
      <diagonal/>
    </border>
    <border>
      <left style="thin">
        <color auto="1"/>
      </left>
      <right style="thin">
        <color indexed="64"/>
      </right>
      <top style="thin">
        <color rgb="FFC0C0C0"/>
      </top>
      <bottom style="thin">
        <color rgb="FFC0C0C0"/>
      </bottom>
      <diagonal/>
    </border>
    <border>
      <left style="thin">
        <color auto="1"/>
      </left>
      <right style="thin">
        <color indexed="64"/>
      </right>
      <top style="thin">
        <color rgb="FFC0C0C0"/>
      </top>
      <bottom style="thin">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rgb="FFC0C0C0"/>
      </top>
      <bottom/>
      <diagonal/>
    </border>
    <border>
      <left/>
      <right/>
      <top style="thin">
        <color rgb="FFC0C0C0"/>
      </top>
      <bottom/>
      <diagonal/>
    </border>
    <border>
      <left style="thin">
        <color auto="1"/>
      </left>
      <right/>
      <top style="thin">
        <color rgb="FFC0C0C0"/>
      </top>
      <bottom style="thin">
        <color indexed="64"/>
      </bottom>
      <diagonal/>
    </border>
    <border>
      <left style="thin">
        <color auto="1"/>
      </left>
      <right/>
      <top/>
      <bottom style="thin">
        <color rgb="FFC0C0C0"/>
      </bottom>
      <diagonal/>
    </border>
    <border>
      <left/>
      <right/>
      <top/>
      <bottom style="thin">
        <color rgb="FFC0C0C0"/>
      </bottom>
      <diagonal/>
    </border>
    <border>
      <left style="thin">
        <color auto="1"/>
      </left>
      <right/>
      <top style="thin">
        <color rgb="FFC0C0C0"/>
      </top>
      <bottom style="thin">
        <color rgb="FFC0C0C0"/>
      </bottom>
      <diagonal/>
    </border>
    <border>
      <left/>
      <right style="thin">
        <color indexed="64"/>
      </right>
      <top style="thin">
        <color rgb="FFC0C0C0"/>
      </top>
      <bottom/>
      <diagonal/>
    </border>
    <border>
      <left/>
      <right style="thin">
        <color indexed="64"/>
      </right>
      <top/>
      <bottom style="thin">
        <color rgb="FFC0C0C0"/>
      </bottom>
      <diagonal/>
    </border>
    <border>
      <left style="thin">
        <color auto="1"/>
      </left>
      <right style="thin">
        <color indexed="64"/>
      </right>
      <top style="thin">
        <color rgb="FFC0C0C0"/>
      </top>
      <bottom/>
      <diagonal/>
    </border>
    <border>
      <left/>
      <right style="thin">
        <color indexed="64"/>
      </right>
      <top style="thin">
        <color rgb="FFC0C0C0"/>
      </top>
      <bottom style="thin">
        <color rgb="FFC0C0C0"/>
      </bottom>
      <diagonal/>
    </border>
    <border>
      <left/>
      <right style="thin">
        <color indexed="64"/>
      </right>
      <top style="thin">
        <color rgb="FFC0C0C0"/>
      </top>
      <bottom style="thin">
        <color auto="1"/>
      </bottom>
      <diagonal/>
    </border>
    <border>
      <left/>
      <right/>
      <top style="thin">
        <color rgb="FFC0C0C0"/>
      </top>
      <bottom style="thin">
        <color rgb="FFC0C0C0"/>
      </bottom>
      <diagonal/>
    </border>
    <border>
      <left/>
      <right/>
      <top style="thin">
        <color rgb="FFC0C0C0"/>
      </top>
      <bottom style="thin">
        <color auto="1"/>
      </bottom>
      <diagonal/>
    </border>
    <border>
      <left style="thin">
        <color auto="1"/>
      </left>
      <right style="medium">
        <color auto="1"/>
      </right>
      <top style="thin">
        <color auto="1"/>
      </top>
      <bottom/>
      <diagonal/>
    </border>
    <border>
      <left style="medium">
        <color auto="1"/>
      </left>
      <right/>
      <top style="thin">
        <color auto="1"/>
      </top>
      <bottom/>
      <diagonal/>
    </border>
    <border>
      <left style="medium">
        <color auto="1"/>
      </left>
      <right/>
      <top/>
      <bottom/>
      <diagonal/>
    </border>
    <border>
      <left style="thin">
        <color auto="1"/>
      </left>
      <right style="medium">
        <color auto="1"/>
      </right>
      <top/>
      <bottom/>
      <diagonal/>
    </border>
  </borders>
  <cellStyleXfs count="18">
    <xf numFmtId="0" fontId="0" fillId="0" borderId="0"/>
    <xf numFmtId="165" fontId="5" fillId="0" borderId="0" applyFont="0" applyFill="0" applyBorder="0" applyAlignment="0" applyProtection="0"/>
    <xf numFmtId="3" fontId="5"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0" fontId="11" fillId="0" borderId="0"/>
    <xf numFmtId="0" fontId="10" fillId="0" borderId="0"/>
    <xf numFmtId="9" fontId="5" fillId="0" borderId="0" applyFont="0" applyFill="0" applyBorder="0" applyAlignment="0" applyProtection="0"/>
    <xf numFmtId="0" fontId="4" fillId="0" borderId="0"/>
    <xf numFmtId="0" fontId="13" fillId="0" borderId="15"/>
    <xf numFmtId="0" fontId="14" fillId="0" borderId="0"/>
    <xf numFmtId="175" fontId="5" fillId="0" borderId="17" applyFill="0" applyProtection="0"/>
    <xf numFmtId="0" fontId="5" fillId="0" borderId="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799">
    <xf numFmtId="0" fontId="0" fillId="0" borderId="0" xfId="0"/>
    <xf numFmtId="0" fontId="6" fillId="0" borderId="1" xfId="0" applyFont="1" applyBorder="1" applyAlignment="1">
      <alignment horizont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0" xfId="0" applyFont="1"/>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49" fontId="6" fillId="0" borderId="1" xfId="0" applyNumberFormat="1" applyFont="1" applyBorder="1" applyAlignment="1">
      <alignment horizontal="left" vertical="top" wrapText="1"/>
    </xf>
    <xf numFmtId="0" fontId="6" fillId="0" borderId="5" xfId="0" applyFont="1" applyBorder="1" applyAlignment="1">
      <alignment horizontal="left" vertical="center" wrapText="1"/>
    </xf>
    <xf numFmtId="49" fontId="6" fillId="0" borderId="1" xfId="0" applyNumberFormat="1" applyFont="1" applyBorder="1" applyAlignment="1">
      <alignment horizontal="left" vertical="center" wrapText="1"/>
    </xf>
    <xf numFmtId="0" fontId="8" fillId="0" borderId="0" xfId="0" applyFont="1" applyAlignment="1">
      <alignment horizontal="center" vertical="center" wrapText="1"/>
    </xf>
    <xf numFmtId="0" fontId="6" fillId="0" borderId="5" xfId="0" applyFont="1" applyBorder="1" applyAlignment="1">
      <alignment horizontal="left" vertical="center"/>
    </xf>
    <xf numFmtId="0" fontId="6" fillId="0" borderId="1" xfId="0" applyFont="1" applyBorder="1" applyAlignment="1">
      <alignment wrapText="1"/>
    </xf>
    <xf numFmtId="167" fontId="6" fillId="0" borderId="1" xfId="3" applyNumberFormat="1" applyFont="1" applyBorder="1" applyAlignment="1">
      <alignment horizontal="right" wrapText="1"/>
    </xf>
    <xf numFmtId="0" fontId="6" fillId="0" borderId="1" xfId="0" applyFont="1" applyBorder="1" applyAlignment="1">
      <alignment horizontal="center"/>
    </xf>
    <xf numFmtId="167" fontId="6" fillId="0" borderId="0" xfId="3" applyNumberFormat="1" applyFont="1" applyBorder="1" applyAlignment="1">
      <alignment horizontal="right" wrapText="1"/>
    </xf>
    <xf numFmtId="167" fontId="6" fillId="0" borderId="0" xfId="1" applyNumberFormat="1" applyFont="1" applyBorder="1" applyAlignment="1">
      <alignment horizontal="right" wrapText="1"/>
    </xf>
    <xf numFmtId="167" fontId="6" fillId="0" borderId="0" xfId="3" applyNumberFormat="1" applyFont="1" applyBorder="1" applyAlignment="1">
      <alignment wrapText="1"/>
    </xf>
    <xf numFmtId="0" fontId="6" fillId="0" borderId="0" xfId="0" applyFont="1" applyAlignment="1">
      <alignment horizontal="right"/>
    </xf>
    <xf numFmtId="165" fontId="6" fillId="0" borderId="0" xfId="0" applyNumberFormat="1" applyFont="1" applyAlignment="1">
      <alignment horizontal="right"/>
    </xf>
    <xf numFmtId="0" fontId="7" fillId="0" borderId="0" xfId="0" applyFont="1" applyAlignment="1">
      <alignment horizontal="left" vertical="center"/>
    </xf>
    <xf numFmtId="49" fontId="8" fillId="0" borderId="3" xfId="0" applyNumberFormat="1" applyFont="1" applyBorder="1" applyAlignment="1">
      <alignment vertical="center"/>
    </xf>
    <xf numFmtId="49" fontId="8" fillId="0" borderId="3" xfId="0" applyNumberFormat="1"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8" fillId="0" borderId="10" xfId="0" applyFont="1" applyBorder="1" applyAlignment="1">
      <alignment horizontal="left" vertical="center"/>
    </xf>
    <xf numFmtId="0" fontId="8" fillId="0" borderId="3" xfId="0" applyFont="1" applyBorder="1" applyAlignment="1">
      <alignment vertical="center"/>
    </xf>
    <xf numFmtId="49" fontId="8" fillId="0" borderId="7" xfId="0" applyNumberFormat="1" applyFont="1" applyBorder="1" applyAlignment="1">
      <alignment horizontal="center" vertical="center"/>
    </xf>
    <xf numFmtId="0" fontId="0" fillId="0" borderId="0" xfId="0" applyAlignment="1">
      <alignment horizontal="left"/>
    </xf>
    <xf numFmtId="49" fontId="8" fillId="0" borderId="0" xfId="0" applyNumberFormat="1" applyFont="1" applyAlignment="1">
      <alignment horizontal="left" vertical="center" wrapText="1"/>
    </xf>
    <xf numFmtId="49" fontId="7" fillId="4" borderId="0" xfId="0" applyNumberFormat="1" applyFont="1" applyFill="1" applyAlignment="1">
      <alignment horizontal="left" vertical="center"/>
    </xf>
    <xf numFmtId="49" fontId="7" fillId="4" borderId="0" xfId="0" applyNumberFormat="1" applyFont="1" applyFill="1" applyAlignment="1">
      <alignment horizontal="left" vertical="top"/>
    </xf>
    <xf numFmtId="0" fontId="7" fillId="4" borderId="0" xfId="0" applyFont="1" applyFill="1" applyAlignment="1">
      <alignment horizontal="left" vertical="center"/>
    </xf>
    <xf numFmtId="0" fontId="8" fillId="0" borderId="0" xfId="0" applyFont="1" applyAlignment="1">
      <alignment vertical="center"/>
    </xf>
    <xf numFmtId="0" fontId="7" fillId="6" borderId="6" xfId="0" applyFont="1" applyFill="1" applyBorder="1" applyAlignment="1">
      <alignment horizontal="center"/>
    </xf>
    <xf numFmtId="0" fontId="7" fillId="6" borderId="8" xfId="0" applyFont="1" applyFill="1" applyBorder="1" applyAlignment="1">
      <alignment horizontal="center"/>
    </xf>
    <xf numFmtId="0" fontId="5" fillId="0" borderId="29" xfId="0" applyFont="1" applyBorder="1" applyAlignment="1">
      <alignment horizontal="center"/>
    </xf>
    <xf numFmtId="9" fontId="0" fillId="0" borderId="29" xfId="0" applyNumberFormat="1" applyBorder="1" applyAlignment="1">
      <alignment horizontal="center"/>
    </xf>
    <xf numFmtId="0" fontId="5" fillId="0" borderId="30" xfId="0" applyFont="1" applyBorder="1" applyAlignment="1">
      <alignment horizontal="center"/>
    </xf>
    <xf numFmtId="9" fontId="0" fillId="0" borderId="30" xfId="0" applyNumberFormat="1" applyBorder="1" applyAlignment="1">
      <alignment horizontal="center"/>
    </xf>
    <xf numFmtId="0" fontId="5" fillId="0" borderId="31" xfId="0" applyFont="1" applyBorder="1" applyAlignment="1">
      <alignment horizontal="center"/>
    </xf>
    <xf numFmtId="9" fontId="0" fillId="0" borderId="31" xfId="0" applyNumberFormat="1" applyBorder="1" applyAlignment="1">
      <alignment horizontal="center"/>
    </xf>
    <xf numFmtId="7" fontId="0" fillId="4" borderId="4" xfId="0" applyNumberFormat="1" applyFill="1" applyBorder="1" applyAlignment="1">
      <alignment horizontal="right"/>
    </xf>
    <xf numFmtId="177" fontId="0" fillId="4" borderId="4" xfId="0" applyNumberFormat="1" applyFill="1" applyBorder="1" applyAlignment="1">
      <alignment horizontal="right"/>
    </xf>
    <xf numFmtId="168" fontId="0" fillId="4" borderId="4" xfId="7" applyNumberFormat="1" applyFont="1" applyFill="1" applyBorder="1" applyAlignment="1">
      <alignment horizontal="right"/>
    </xf>
    <xf numFmtId="7" fontId="0" fillId="0" borderId="4" xfId="0" applyNumberFormat="1" applyBorder="1" applyAlignment="1">
      <alignment horizontal="right"/>
    </xf>
    <xf numFmtId="0" fontId="5" fillId="0" borderId="0" xfId="0" applyFont="1" applyAlignment="1">
      <alignment wrapText="1"/>
    </xf>
    <xf numFmtId="177" fontId="0" fillId="0" borderId="4" xfId="0" applyNumberFormat="1" applyBorder="1" applyAlignment="1">
      <alignment horizontal="right"/>
    </xf>
    <xf numFmtId="0" fontId="7" fillId="0" borderId="0" xfId="0" applyFont="1"/>
    <xf numFmtId="0" fontId="5" fillId="0" borderId="4" xfId="0" applyFont="1" applyBorder="1" applyAlignment="1">
      <alignment horizontal="center"/>
    </xf>
    <xf numFmtId="178" fontId="0" fillId="4" borderId="4" xfId="0" applyNumberFormat="1" applyFill="1" applyBorder="1" applyAlignment="1">
      <alignment horizontal="center"/>
    </xf>
    <xf numFmtId="0" fontId="6" fillId="0" borderId="0" xfId="0" applyFont="1" applyAlignment="1">
      <alignment vertical="top"/>
    </xf>
    <xf numFmtId="49" fontId="6" fillId="0" borderId="0" xfId="0" applyNumberFormat="1" applyFont="1" applyAlignment="1">
      <alignment horizontal="left" vertical="center"/>
    </xf>
    <xf numFmtId="167" fontId="6" fillId="0" borderId="0" xfId="0" applyNumberFormat="1" applyFont="1" applyAlignment="1">
      <alignment horizontal="right" vertical="center"/>
    </xf>
    <xf numFmtId="49" fontId="6" fillId="0" borderId="0" xfId="0" applyNumberFormat="1" applyFont="1" applyAlignment="1">
      <alignment horizontal="right" vertical="top"/>
    </xf>
    <xf numFmtId="177" fontId="6" fillId="0" borderId="0" xfId="0" applyNumberFormat="1" applyFont="1" applyAlignment="1">
      <alignmen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167" fontId="8" fillId="0" borderId="0" xfId="1" applyNumberFormat="1" applyFont="1" applyBorder="1" applyAlignment="1">
      <alignment horizontal="right" vertical="center" wrapText="1"/>
    </xf>
    <xf numFmtId="0" fontId="8" fillId="0" borderId="0" xfId="0" applyFont="1" applyAlignment="1">
      <alignment horizontal="left" vertical="center"/>
    </xf>
    <xf numFmtId="0" fontId="8" fillId="0" borderId="0" xfId="0" applyFont="1" applyAlignment="1">
      <alignment horizontal="left" vertical="top"/>
    </xf>
    <xf numFmtId="0" fontId="8" fillId="0" borderId="14" xfId="0" applyFont="1" applyBorder="1" applyAlignment="1">
      <alignment horizontal="left" vertical="center"/>
    </xf>
    <xf numFmtId="0" fontId="6" fillId="0" borderId="0" xfId="0" applyFont="1"/>
    <xf numFmtId="10" fontId="6" fillId="3" borderId="0" xfId="7" applyNumberFormat="1" applyFont="1" applyFill="1" applyBorder="1" applyAlignment="1" applyProtection="1">
      <alignment horizontal="center" vertical="top"/>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179" fontId="6" fillId="0" borderId="1" xfId="2" applyNumberFormat="1" applyFont="1" applyFill="1" applyBorder="1" applyAlignment="1" applyProtection="1">
      <alignment horizontal="center"/>
    </xf>
    <xf numFmtId="168" fontId="6" fillId="0" borderId="0" xfId="0" applyNumberFormat="1" applyFont="1" applyAlignment="1">
      <alignment vertical="center"/>
    </xf>
    <xf numFmtId="0" fontId="0" fillId="0" borderId="1" xfId="0" applyBorder="1" applyAlignment="1">
      <alignment wrapText="1"/>
    </xf>
    <xf numFmtId="177" fontId="0" fillId="0" borderId="1" xfId="0" applyNumberFormat="1" applyBorder="1"/>
    <xf numFmtId="0" fontId="0" fillId="0" borderId="4" xfId="0" applyBorder="1" applyAlignment="1">
      <alignment wrapText="1"/>
    </xf>
    <xf numFmtId="177" fontId="0" fillId="0" borderId="4" xfId="0" applyNumberFormat="1" applyBorder="1"/>
    <xf numFmtId="0" fontId="5" fillId="0" borderId="4" xfId="0" applyFont="1" applyBorder="1" applyAlignment="1">
      <alignment wrapText="1"/>
    </xf>
    <xf numFmtId="0" fontId="7" fillId="7" borderId="4" xfId="0" applyFont="1" applyFill="1" applyBorder="1" applyAlignment="1">
      <alignment horizontal="center" vertical="center"/>
    </xf>
    <xf numFmtId="177" fontId="7" fillId="0" borderId="1" xfId="0" applyNumberFormat="1" applyFont="1" applyBorder="1"/>
    <xf numFmtId="177" fontId="7" fillId="0" borderId="4" xfId="0" applyNumberFormat="1" applyFont="1" applyBorder="1"/>
    <xf numFmtId="0" fontId="6" fillId="0" borderId="0" xfId="1" applyNumberFormat="1" applyFont="1" applyBorder="1" applyAlignment="1">
      <alignment wrapText="1"/>
    </xf>
    <xf numFmtId="0" fontId="0" fillId="0" borderId="12" xfId="0" applyBorder="1"/>
    <xf numFmtId="0" fontId="0" fillId="0" borderId="43" xfId="0" applyBorder="1"/>
    <xf numFmtId="0" fontId="0" fillId="0" borderId="41" xfId="0" applyBorder="1"/>
    <xf numFmtId="0" fontId="0" fillId="0" borderId="40" xfId="0" applyBorder="1"/>
    <xf numFmtId="0" fontId="0" fillId="0" borderId="43" xfId="0" applyBorder="1" applyAlignment="1">
      <alignment horizontal="left" indent="1"/>
    </xf>
    <xf numFmtId="0" fontId="5" fillId="0" borderId="43" xfId="0" applyFont="1" applyBorder="1" applyAlignment="1">
      <alignment horizontal="left" indent="1"/>
    </xf>
    <xf numFmtId="0" fontId="5" fillId="0" borderId="40" xfId="0" applyFont="1" applyBorder="1" applyAlignment="1">
      <alignment horizontal="left" indent="1"/>
    </xf>
    <xf numFmtId="0" fontId="0" fillId="0" borderId="40" xfId="0" applyBorder="1" applyAlignment="1">
      <alignment horizontal="left" indent="1"/>
    </xf>
    <xf numFmtId="0" fontId="5" fillId="0" borderId="37" xfId="0" applyFont="1" applyBorder="1" applyAlignment="1">
      <alignment horizontal="left" indent="1"/>
    </xf>
    <xf numFmtId="0" fontId="5" fillId="0" borderId="39" xfId="0" applyFont="1" applyBorder="1" applyAlignment="1">
      <alignment horizontal="left" indent="1"/>
    </xf>
    <xf numFmtId="0" fontId="5" fillId="0" borderId="34" xfId="0" applyFont="1" applyBorder="1" applyAlignment="1">
      <alignment horizontal="left" indent="1"/>
    </xf>
    <xf numFmtId="0" fontId="5" fillId="0" borderId="41" xfId="0" applyFont="1" applyBorder="1" applyAlignment="1">
      <alignment horizontal="left" indent="1"/>
    </xf>
    <xf numFmtId="0" fontId="5" fillId="0" borderId="41" xfId="0" applyFont="1" applyBorder="1" applyAlignment="1">
      <alignment horizontal="left"/>
    </xf>
    <xf numFmtId="0" fontId="0" fillId="0" borderId="43" xfId="0" applyBorder="1" applyAlignment="1">
      <alignment horizontal="left"/>
    </xf>
    <xf numFmtId="0" fontId="5" fillId="0" borderId="43" xfId="0" applyFont="1" applyBorder="1" applyAlignment="1">
      <alignment horizontal="left"/>
    </xf>
    <xf numFmtId="0" fontId="5" fillId="0" borderId="40" xfId="0" applyFont="1" applyBorder="1" applyAlignment="1">
      <alignment horizontal="left"/>
    </xf>
    <xf numFmtId="7" fontId="5" fillId="0" borderId="29" xfId="0" applyNumberFormat="1" applyFont="1" applyBorder="1" applyAlignment="1" applyProtection="1">
      <alignment horizontal="center"/>
      <protection locked="0"/>
    </xf>
    <xf numFmtId="7" fontId="0" fillId="0" borderId="30" xfId="0" applyNumberFormat="1" applyBorder="1" applyAlignment="1" applyProtection="1">
      <alignment horizontal="center"/>
      <protection locked="0"/>
    </xf>
    <xf numFmtId="7" fontId="0" fillId="0" borderId="42" xfId="0" applyNumberFormat="1" applyBorder="1" applyAlignment="1" applyProtection="1">
      <alignment horizontal="center"/>
      <protection locked="0"/>
    </xf>
    <xf numFmtId="177" fontId="5" fillId="0" borderId="30" xfId="0" applyNumberFormat="1" applyFont="1" applyBorder="1" applyAlignment="1" applyProtection="1">
      <alignment horizontal="center"/>
      <protection locked="0"/>
    </xf>
    <xf numFmtId="7" fontId="5" fillId="0" borderId="30" xfId="0" applyNumberFormat="1" applyFont="1" applyBorder="1" applyAlignment="1" applyProtection="1">
      <alignment horizontal="center"/>
      <protection locked="0"/>
    </xf>
    <xf numFmtId="177" fontId="5" fillId="0" borderId="42" xfId="0" applyNumberFormat="1" applyFont="1" applyBorder="1" applyAlignment="1" applyProtection="1">
      <alignment horizontal="center"/>
      <protection locked="0"/>
    </xf>
    <xf numFmtId="7" fontId="0" fillId="0" borderId="29" xfId="0" applyNumberFormat="1" applyBorder="1"/>
    <xf numFmtId="177" fontId="0" fillId="4" borderId="30" xfId="0" applyNumberFormat="1" applyFill="1" applyBorder="1"/>
    <xf numFmtId="7" fontId="0" fillId="0" borderId="30" xfId="0" applyNumberFormat="1" applyBorder="1"/>
    <xf numFmtId="7" fontId="0" fillId="0" borderId="42" xfId="0" applyNumberFormat="1" applyBorder="1"/>
    <xf numFmtId="0" fontId="0" fillId="7" borderId="16" xfId="0" applyFill="1" applyBorder="1" applyAlignment="1">
      <alignment vertical="center"/>
    </xf>
    <xf numFmtId="0" fontId="7" fillId="7" borderId="7" xfId="0" applyFont="1" applyFill="1" applyBorder="1" applyAlignment="1">
      <alignment horizontal="right" vertical="center" indent="1"/>
    </xf>
    <xf numFmtId="0" fontId="7" fillId="7" borderId="7"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16" xfId="0" applyFont="1" applyFill="1" applyBorder="1" applyAlignment="1">
      <alignment horizontal="center" vertical="center"/>
    </xf>
    <xf numFmtId="0" fontId="5" fillId="0" borderId="38" xfId="0" applyFont="1" applyBorder="1" applyAlignment="1">
      <alignment horizontal="left"/>
    </xf>
    <xf numFmtId="0" fontId="0" fillId="0" borderId="45" xfId="0" applyBorder="1" applyAlignment="1">
      <alignment horizontal="left"/>
    </xf>
    <xf numFmtId="0" fontId="5" fillId="0" borderId="45" xfId="0" applyFont="1" applyBorder="1" applyAlignment="1">
      <alignment horizontal="left"/>
    </xf>
    <xf numFmtId="0" fontId="5" fillId="0" borderId="35" xfId="0" applyFont="1" applyBorder="1" applyAlignment="1">
      <alignment horizontal="left"/>
    </xf>
    <xf numFmtId="0" fontId="0" fillId="0" borderId="46" xfId="0" applyBorder="1" applyAlignment="1">
      <alignment horizontal="left"/>
    </xf>
    <xf numFmtId="0" fontId="0" fillId="0" borderId="44" xfId="0" applyBorder="1" applyAlignment="1">
      <alignment horizontal="left"/>
    </xf>
    <xf numFmtId="0" fontId="0" fillId="0" borderId="39" xfId="0" applyBorder="1" applyAlignment="1">
      <alignment horizontal="left" indent="1"/>
    </xf>
    <xf numFmtId="0" fontId="0" fillId="0" borderId="36" xfId="0" applyBorder="1" applyAlignment="1">
      <alignment horizontal="left" indent="1"/>
    </xf>
    <xf numFmtId="0" fontId="6" fillId="0" borderId="4" xfId="0" applyFont="1" applyBorder="1" applyAlignment="1">
      <alignment horizontal="center" wrapText="1"/>
    </xf>
    <xf numFmtId="176" fontId="0" fillId="0" borderId="8" xfId="0" applyNumberFormat="1" applyBorder="1" applyAlignment="1" applyProtection="1">
      <alignment wrapText="1"/>
      <protection locked="0"/>
    </xf>
    <xf numFmtId="0" fontId="0" fillId="0" borderId="6" xfId="0" applyBorder="1" applyAlignment="1">
      <alignment wrapText="1"/>
    </xf>
    <xf numFmtId="0" fontId="0" fillId="0" borderId="6" xfId="0" applyBorder="1"/>
    <xf numFmtId="0" fontId="7" fillId="0" borderId="6" xfId="0" applyFont="1" applyBorder="1"/>
    <xf numFmtId="0" fontId="0" fillId="0" borderId="8" xfId="0" applyBorder="1" applyAlignment="1">
      <alignment wrapText="1"/>
    </xf>
    <xf numFmtId="177" fontId="0" fillId="0" borderId="8" xfId="0" applyNumberFormat="1" applyBorder="1"/>
    <xf numFmtId="177" fontId="7" fillId="0" borderId="8" xfId="0" applyNumberFormat="1" applyFont="1" applyBorder="1"/>
    <xf numFmtId="179" fontId="6" fillId="0" borderId="1" xfId="2" applyNumberFormat="1" applyFont="1" applyFill="1" applyBorder="1" applyAlignment="1" applyProtection="1">
      <alignment horizontal="center" vertical="center"/>
    </xf>
    <xf numFmtId="0" fontId="6" fillId="0" borderId="1" xfId="0" applyFont="1" applyBorder="1" applyAlignment="1">
      <alignment horizontal="center" vertical="center"/>
    </xf>
    <xf numFmtId="179" fontId="6" fillId="0" borderId="1" xfId="2" applyNumberFormat="1" applyFont="1" applyFill="1" applyBorder="1" applyAlignment="1" applyProtection="1">
      <alignment horizontal="center" vertical="top"/>
    </xf>
    <xf numFmtId="0" fontId="29" fillId="0" borderId="1" xfId="0" applyFont="1" applyBorder="1" applyAlignment="1">
      <alignment horizontal="left" vertical="center" wrapText="1"/>
    </xf>
    <xf numFmtId="49" fontId="29" fillId="0" borderId="1" xfId="0" applyNumberFormat="1" applyFont="1" applyBorder="1" applyAlignment="1">
      <alignment horizontal="left" vertical="top" wrapText="1"/>
    </xf>
    <xf numFmtId="3" fontId="6" fillId="0" borderId="1" xfId="1" applyNumberFormat="1" applyFont="1" applyBorder="1" applyAlignment="1">
      <alignment horizontal="center" vertical="center" wrapText="1"/>
    </xf>
    <xf numFmtId="167" fontId="6" fillId="0" borderId="1" xfId="0" applyNumberFormat="1" applyFont="1" applyBorder="1" applyAlignment="1">
      <alignment horizontal="center" vertical="center"/>
    </xf>
    <xf numFmtId="0" fontId="27" fillId="0" borderId="1" xfId="0" applyFont="1" applyBorder="1" applyAlignment="1">
      <alignment horizontal="center" vertical="center"/>
    </xf>
    <xf numFmtId="0" fontId="30" fillId="0" borderId="1" xfId="0" applyFont="1" applyBorder="1" applyAlignment="1">
      <alignment horizontal="left" vertical="center" wrapText="1"/>
    </xf>
    <xf numFmtId="174" fontId="6" fillId="0" borderId="1" xfId="0" applyNumberFormat="1" applyFont="1" applyBorder="1" applyAlignment="1">
      <alignment horizontal="center" vertical="center" wrapText="1"/>
    </xf>
    <xf numFmtId="174" fontId="6" fillId="0" borderId="1" xfId="0" applyNumberFormat="1" applyFont="1" applyBorder="1" applyAlignment="1">
      <alignment horizontal="center" vertical="center"/>
    </xf>
    <xf numFmtId="44" fontId="6" fillId="0" borderId="50" xfId="1" applyNumberFormat="1" applyFont="1" applyBorder="1" applyAlignment="1" applyProtection="1">
      <alignment vertical="center" wrapText="1"/>
    </xf>
    <xf numFmtId="44" fontId="8" fillId="0" borderId="22" xfId="1" applyNumberFormat="1" applyFont="1" applyBorder="1" applyAlignment="1" applyProtection="1">
      <alignment vertical="center" wrapText="1"/>
    </xf>
    <xf numFmtId="44" fontId="6" fillId="0" borderId="50" xfId="3" applyNumberFormat="1" applyFont="1" applyBorder="1" applyAlignment="1" applyProtection="1">
      <alignment horizontal="left" vertical="center" wrapText="1"/>
    </xf>
    <xf numFmtId="44" fontId="8" fillId="0" borderId="22" xfId="1" applyNumberFormat="1" applyFont="1" applyBorder="1" applyAlignment="1" applyProtection="1">
      <alignment horizontal="lef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49" fontId="8" fillId="0" borderId="0" xfId="0" applyNumberFormat="1" applyFont="1" applyAlignment="1">
      <alignment horizontal="center" vertical="center"/>
    </xf>
    <xf numFmtId="167" fontId="6" fillId="0" borderId="1" xfId="1" applyNumberFormat="1" applyFont="1" applyBorder="1" applyAlignment="1">
      <alignment horizontal="right" vertical="center" wrapText="1"/>
    </xf>
    <xf numFmtId="3" fontId="6" fillId="0" borderId="1" xfId="1" applyNumberFormat="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167" fontId="6" fillId="0" borderId="1" xfId="3" applyNumberFormat="1" applyFont="1" applyBorder="1" applyAlignment="1">
      <alignment horizontal="right" vertical="center" wrapText="1"/>
    </xf>
    <xf numFmtId="0" fontId="6" fillId="0" borderId="5" xfId="0" applyFont="1" applyBorder="1" applyAlignment="1">
      <alignment horizontal="right" vertical="center"/>
    </xf>
    <xf numFmtId="165" fontId="6" fillId="0" borderId="1" xfId="1" applyFont="1" applyBorder="1" applyAlignment="1">
      <alignment horizontal="center" vertical="center" wrapText="1"/>
    </xf>
    <xf numFmtId="9" fontId="6" fillId="0" borderId="1" xfId="1" applyNumberFormat="1" applyFont="1" applyBorder="1" applyAlignment="1">
      <alignment horizontal="center" vertical="center" wrapText="1"/>
    </xf>
    <xf numFmtId="168"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65" fontId="6" fillId="0" borderId="1" xfId="1" applyFont="1" applyFill="1" applyBorder="1" applyAlignment="1">
      <alignment horizontal="center" vertical="center" wrapText="1"/>
    </xf>
    <xf numFmtId="44" fontId="6" fillId="0" borderId="1" xfId="1" applyNumberFormat="1" applyFont="1" applyFill="1" applyBorder="1" applyAlignment="1">
      <alignment horizontal="center" vertical="center" wrapText="1"/>
    </xf>
    <xf numFmtId="174" fontId="6" fillId="0" borderId="1" xfId="0" applyNumberFormat="1" applyFont="1" applyBorder="1" applyAlignment="1">
      <alignment horizontal="right" vertical="center" wrapText="1"/>
    </xf>
    <xf numFmtId="181" fontId="6" fillId="0" borderId="1" xfId="2" applyNumberFormat="1" applyFont="1" applyFill="1" applyBorder="1" applyAlignment="1" applyProtection="1">
      <alignment horizontal="center" vertical="center"/>
    </xf>
    <xf numFmtId="177" fontId="8" fillId="0" borderId="0" xfId="0" applyNumberFormat="1" applyFont="1" applyAlignment="1">
      <alignment horizontal="center" vertical="center" wrapText="1"/>
    </xf>
    <xf numFmtId="177" fontId="8" fillId="0" borderId="0" xfId="0" applyNumberFormat="1" applyFont="1" applyAlignment="1">
      <alignment vertical="center"/>
    </xf>
    <xf numFmtId="177" fontId="8" fillId="0" borderId="0" xfId="0" applyNumberFormat="1" applyFont="1" applyAlignment="1">
      <alignment vertical="center" wrapText="1"/>
    </xf>
    <xf numFmtId="0" fontId="8" fillId="0" borderId="0" xfId="0" applyFont="1" applyAlignment="1">
      <alignment vertical="center" wrapText="1"/>
    </xf>
    <xf numFmtId="177" fontId="6" fillId="0" borderId="0" xfId="3" applyNumberFormat="1" applyFont="1" applyBorder="1" applyAlignment="1">
      <alignment wrapText="1"/>
    </xf>
    <xf numFmtId="177" fontId="6" fillId="0" borderId="0" xfId="1" applyNumberFormat="1" applyFont="1" applyBorder="1" applyAlignment="1">
      <alignment wrapText="1"/>
    </xf>
    <xf numFmtId="168" fontId="6" fillId="0" borderId="0" xfId="1" applyNumberFormat="1" applyFont="1" applyBorder="1" applyAlignment="1">
      <alignment wrapText="1"/>
    </xf>
    <xf numFmtId="177" fontId="8" fillId="0" borderId="0" xfId="1" applyNumberFormat="1" applyFont="1" applyBorder="1" applyAlignment="1">
      <alignment vertical="center" wrapText="1"/>
    </xf>
    <xf numFmtId="10" fontId="16" fillId="0" borderId="0" xfId="7" applyNumberFormat="1" applyFont="1" applyBorder="1" applyAlignment="1" applyProtection="1">
      <alignment wrapText="1"/>
    </xf>
    <xf numFmtId="9" fontId="6" fillId="8" borderId="1" xfId="1" applyNumberFormat="1" applyFont="1" applyFill="1" applyBorder="1" applyAlignment="1" applyProtection="1">
      <alignment horizontal="center" vertical="center" wrapText="1"/>
      <protection locked="0"/>
    </xf>
    <xf numFmtId="2" fontId="6" fillId="9" borderId="1" xfId="0" applyNumberFormat="1" applyFont="1" applyFill="1" applyBorder="1" applyAlignment="1">
      <alignment horizontal="center" vertical="center" wrapText="1"/>
    </xf>
    <xf numFmtId="44" fontId="6" fillId="0" borderId="1" xfId="1" applyNumberFormat="1" applyFont="1" applyBorder="1" applyAlignment="1">
      <alignment horizontal="right" vertical="center" wrapText="1"/>
    </xf>
    <xf numFmtId="44" fontId="6" fillId="8" borderId="1" xfId="1" applyNumberFormat="1" applyFont="1" applyFill="1" applyBorder="1" applyAlignment="1" applyProtection="1">
      <alignment horizontal="center" vertical="center" wrapText="1"/>
      <protection locked="0"/>
    </xf>
    <xf numFmtId="44" fontId="6" fillId="0" borderId="1" xfId="3" applyNumberFormat="1" applyFont="1" applyBorder="1" applyAlignment="1">
      <alignment horizontal="right" vertical="center" wrapText="1"/>
    </xf>
    <xf numFmtId="44" fontId="6" fillId="0" borderId="1" xfId="0" applyNumberFormat="1" applyFont="1" applyBorder="1" applyAlignment="1">
      <alignment horizontal="right" vertical="center" wrapText="1"/>
    </xf>
    <xf numFmtId="44" fontId="8" fillId="0" borderId="4" xfId="1" applyNumberFormat="1" applyFont="1" applyBorder="1" applyAlignment="1">
      <alignment horizontal="right" vertical="center" wrapText="1"/>
    </xf>
    <xf numFmtId="4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xf>
    <xf numFmtId="44" fontId="6" fillId="0" borderId="1" xfId="1" applyNumberFormat="1" applyFont="1" applyBorder="1" applyAlignment="1">
      <alignment horizontal="center" vertical="center" wrapText="1"/>
    </xf>
    <xf numFmtId="0" fontId="6" fillId="0" borderId="0" xfId="12" applyFont="1" applyAlignment="1">
      <alignment vertical="top"/>
    </xf>
    <xf numFmtId="49" fontId="6" fillId="0" borderId="0" xfId="12" applyNumberFormat="1" applyFont="1" applyAlignment="1">
      <alignment horizontal="left" vertical="center"/>
    </xf>
    <xf numFmtId="0" fontId="6" fillId="0" borderId="0" xfId="12" applyFont="1" applyAlignment="1">
      <alignment horizontal="left" vertical="center"/>
    </xf>
    <xf numFmtId="0" fontId="6" fillId="0" borderId="0" xfId="12" applyFont="1" applyAlignment="1">
      <alignment horizontal="center" vertical="center"/>
    </xf>
    <xf numFmtId="0" fontId="6" fillId="0" borderId="0" xfId="12" applyFont="1" applyAlignment="1">
      <alignment vertical="center"/>
    </xf>
    <xf numFmtId="167" fontId="6" fillId="0" borderId="0" xfId="12" applyNumberFormat="1" applyFont="1" applyAlignment="1">
      <alignment horizontal="right" vertical="center"/>
    </xf>
    <xf numFmtId="49" fontId="6" fillId="0" borderId="0" xfId="12" applyNumberFormat="1" applyFont="1" applyAlignment="1">
      <alignment horizontal="right" vertical="top"/>
    </xf>
    <xf numFmtId="177" fontId="6" fillId="0" borderId="0" xfId="12" applyNumberFormat="1" applyFont="1" applyAlignment="1">
      <alignment vertical="center"/>
    </xf>
    <xf numFmtId="0" fontId="6" fillId="0" borderId="0" xfId="12" applyFont="1" applyAlignment="1">
      <alignment wrapText="1"/>
    </xf>
    <xf numFmtId="0" fontId="6" fillId="0" borderId="0" xfId="12" applyFont="1" applyAlignment="1">
      <alignment vertical="center" wrapText="1"/>
    </xf>
    <xf numFmtId="0" fontId="6" fillId="0" borderId="0" xfId="12" applyFont="1" applyAlignment="1">
      <alignment horizontal="right" indent="1"/>
    </xf>
    <xf numFmtId="0" fontId="6" fillId="0" borderId="0" xfId="12" applyFont="1" applyAlignment="1">
      <alignment horizontal="left" wrapText="1"/>
    </xf>
    <xf numFmtId="49" fontId="8" fillId="0" borderId="0" xfId="12" applyNumberFormat="1" applyFont="1" applyAlignment="1">
      <alignment horizontal="center" vertical="center"/>
    </xf>
    <xf numFmtId="0" fontId="8" fillId="0" borderId="0" xfId="12" applyFont="1" applyAlignment="1">
      <alignment horizontal="center" vertical="center"/>
    </xf>
    <xf numFmtId="0" fontId="6" fillId="0" borderId="0" xfId="12" applyFont="1" applyAlignment="1">
      <alignment horizontal="right" vertical="center"/>
    </xf>
    <xf numFmtId="177" fontId="8" fillId="0" borderId="0" xfId="12" applyNumberFormat="1" applyFont="1" applyAlignment="1">
      <alignment horizontal="center" vertical="center" wrapText="1"/>
    </xf>
    <xf numFmtId="49" fontId="8" fillId="0" borderId="0" xfId="12" applyNumberFormat="1" applyFont="1" applyAlignment="1">
      <alignment horizontal="left" vertical="center"/>
    </xf>
    <xf numFmtId="49" fontId="8" fillId="0" borderId="0" xfId="12" applyNumberFormat="1" applyFont="1" applyAlignment="1">
      <alignment horizontal="left" vertical="top"/>
    </xf>
    <xf numFmtId="49" fontId="8" fillId="0" borderId="14" xfId="12" applyNumberFormat="1" applyFont="1" applyBorder="1" applyAlignment="1">
      <alignment horizontal="left" vertical="center"/>
    </xf>
    <xf numFmtId="49" fontId="8" fillId="0" borderId="12" xfId="12" applyNumberFormat="1" applyFont="1" applyBorder="1" applyAlignment="1">
      <alignment horizontal="left" vertical="center" wrapText="1"/>
    </xf>
    <xf numFmtId="0" fontId="8" fillId="0" borderId="12" xfId="12" applyFont="1" applyBorder="1" applyAlignment="1">
      <alignment horizontal="center" vertical="center" wrapText="1"/>
    </xf>
    <xf numFmtId="177" fontId="8" fillId="0" borderId="0" xfId="12" applyNumberFormat="1" applyFont="1" applyAlignment="1">
      <alignment vertical="center"/>
    </xf>
    <xf numFmtId="0" fontId="8" fillId="0" borderId="0" xfId="12" applyFont="1" applyAlignment="1">
      <alignment vertical="center"/>
    </xf>
    <xf numFmtId="177" fontId="8" fillId="0" borderId="0" xfId="12" applyNumberFormat="1" applyFont="1" applyAlignment="1">
      <alignment vertical="center" wrapText="1"/>
    </xf>
    <xf numFmtId="0" fontId="8" fillId="0" borderId="0" xfId="12" applyFont="1" applyAlignment="1">
      <alignment vertical="center" wrapText="1"/>
    </xf>
    <xf numFmtId="0" fontId="8" fillId="0" borderId="10" xfId="12" applyFont="1" applyBorder="1" applyAlignment="1">
      <alignment horizontal="left" vertical="center"/>
    </xf>
    <xf numFmtId="0" fontId="8" fillId="0" borderId="9" xfId="12" applyFont="1" applyBorder="1" applyAlignment="1">
      <alignment horizontal="left"/>
    </xf>
    <xf numFmtId="0" fontId="8" fillId="0" borderId="11" xfId="12" applyFont="1" applyBorder="1" applyAlignment="1">
      <alignment horizontal="left"/>
    </xf>
    <xf numFmtId="0" fontId="6" fillId="0" borderId="0" xfId="12" applyFont="1" applyAlignment="1">
      <alignment horizontal="center" wrapText="1"/>
    </xf>
    <xf numFmtId="0" fontId="8" fillId="0" borderId="4" xfId="12" applyFont="1" applyBorder="1" applyAlignment="1">
      <alignment horizontal="left" vertical="center" wrapText="1"/>
    </xf>
    <xf numFmtId="0" fontId="8" fillId="0" borderId="4" xfId="12" applyFont="1" applyBorder="1" applyAlignment="1">
      <alignment horizontal="center" vertical="center" wrapText="1"/>
    </xf>
    <xf numFmtId="3" fontId="8" fillId="0" borderId="4" xfId="12" applyNumberFormat="1" applyFont="1" applyBorder="1" applyAlignment="1">
      <alignment horizontal="center" vertical="center" wrapText="1"/>
    </xf>
    <xf numFmtId="4" fontId="8" fillId="0" borderId="4" xfId="12" applyNumberFormat="1" applyFont="1" applyBorder="1" applyAlignment="1">
      <alignment horizontal="center" vertical="center" wrapText="1"/>
    </xf>
    <xf numFmtId="0" fontId="8" fillId="0" borderId="0" xfId="12" applyFont="1" applyAlignment="1">
      <alignment horizontal="center" vertical="center" wrapText="1"/>
    </xf>
    <xf numFmtId="0" fontId="6" fillId="0" borderId="1" xfId="12" applyFont="1" applyBorder="1" applyAlignment="1">
      <alignment horizontal="left" wrapText="1"/>
    </xf>
    <xf numFmtId="0" fontId="6" fillId="0" borderId="1" xfId="12" applyFont="1" applyBorder="1" applyAlignment="1">
      <alignment horizontal="center" wrapText="1"/>
    </xf>
    <xf numFmtId="3" fontId="6" fillId="0" borderId="1" xfId="12" applyNumberFormat="1" applyFont="1" applyBorder="1" applyAlignment="1">
      <alignment horizontal="center" wrapText="1"/>
    </xf>
    <xf numFmtId="0" fontId="6" fillId="0" borderId="1" xfId="12" applyFont="1" applyBorder="1" applyAlignment="1">
      <alignment wrapText="1"/>
    </xf>
    <xf numFmtId="167" fontId="6" fillId="0" borderId="1" xfId="12" applyNumberFormat="1" applyFont="1" applyBorder="1" applyAlignment="1">
      <alignment wrapText="1"/>
    </xf>
    <xf numFmtId="177" fontId="6" fillId="0" borderId="0" xfId="3" applyNumberFormat="1" applyFont="1" applyBorder="1" applyAlignment="1" applyProtection="1">
      <alignment wrapText="1"/>
    </xf>
    <xf numFmtId="177" fontId="6" fillId="0" borderId="0" xfId="1" applyNumberFormat="1" applyFont="1" applyBorder="1" applyAlignment="1" applyProtection="1">
      <alignment wrapText="1"/>
    </xf>
    <xf numFmtId="168" fontId="6" fillId="0" borderId="0" xfId="1" applyNumberFormat="1" applyFont="1" applyBorder="1" applyAlignment="1" applyProtection="1">
      <alignment wrapText="1"/>
    </xf>
    <xf numFmtId="0" fontId="6" fillId="0" borderId="0" xfId="1" applyNumberFormat="1" applyFont="1" applyBorder="1" applyAlignment="1" applyProtection="1">
      <alignment wrapText="1"/>
    </xf>
    <xf numFmtId="173" fontId="8" fillId="0" borderId="1" xfId="12" applyNumberFormat="1" applyFont="1" applyBorder="1" applyAlignment="1">
      <alignment horizontal="left" wrapText="1"/>
    </xf>
    <xf numFmtId="0" fontId="18" fillId="0" borderId="1" xfId="12" applyFont="1" applyBorder="1" applyAlignment="1">
      <alignment wrapText="1"/>
    </xf>
    <xf numFmtId="38" fontId="6" fillId="0" borderId="1" xfId="12" applyNumberFormat="1" applyFont="1" applyBorder="1" applyAlignment="1">
      <alignment horizontal="center" wrapText="1"/>
    </xf>
    <xf numFmtId="4" fontId="6" fillId="0" borderId="1" xfId="12" applyNumberFormat="1" applyFont="1" applyBorder="1" applyAlignment="1">
      <alignment wrapText="1"/>
    </xf>
    <xf numFmtId="167" fontId="6" fillId="0" borderId="1" xfId="2" applyNumberFormat="1" applyFont="1" applyBorder="1" applyAlignment="1" applyProtection="1">
      <alignment wrapText="1"/>
    </xf>
    <xf numFmtId="49" fontId="6" fillId="0" borderId="1" xfId="12" applyNumberFormat="1" applyFont="1" applyBorder="1" applyAlignment="1">
      <alignment horizontal="left" wrapText="1"/>
    </xf>
    <xf numFmtId="0" fontId="15" fillId="0" borderId="1" xfId="12" applyFont="1" applyBorder="1" applyAlignment="1">
      <alignment wrapText="1"/>
    </xf>
    <xf numFmtId="171" fontId="6" fillId="0" borderId="1" xfId="12" applyNumberFormat="1" applyFont="1" applyBorder="1" applyAlignment="1">
      <alignment horizontal="left" vertical="top" wrapText="1"/>
    </xf>
    <xf numFmtId="0" fontId="6" fillId="0" borderId="1" xfId="12" applyFont="1" applyBorder="1" applyAlignment="1">
      <alignment horizontal="left" vertical="top" wrapText="1"/>
    </xf>
    <xf numFmtId="0" fontId="6" fillId="0" borderId="1" xfId="12" applyFont="1" applyBorder="1" applyAlignment="1">
      <alignment horizontal="center" vertical="center" wrapText="1"/>
    </xf>
    <xf numFmtId="38" fontId="6" fillId="0" borderId="1" xfId="12" applyNumberFormat="1" applyFont="1" applyBorder="1" applyAlignment="1">
      <alignment horizontal="center" vertical="center" wrapText="1"/>
    </xf>
    <xf numFmtId="44" fontId="6" fillId="0" borderId="1" xfId="12" applyNumberFormat="1" applyFont="1" applyBorder="1" applyAlignment="1">
      <alignment vertical="center" wrapText="1"/>
    </xf>
    <xf numFmtId="167" fontId="6" fillId="0" borderId="1" xfId="2" applyNumberFormat="1" applyFont="1" applyBorder="1" applyAlignment="1" applyProtection="1">
      <alignment vertical="center" wrapText="1"/>
    </xf>
    <xf numFmtId="49" fontId="6" fillId="0" borderId="1" xfId="12" applyNumberFormat="1" applyFont="1" applyBorder="1" applyAlignment="1">
      <alignment horizontal="left" vertical="top" wrapText="1"/>
    </xf>
    <xf numFmtId="4" fontId="6" fillId="0" borderId="1" xfId="12" applyNumberFormat="1" applyFont="1" applyBorder="1" applyAlignment="1">
      <alignment vertical="center" wrapText="1"/>
    </xf>
    <xf numFmtId="44" fontId="6" fillId="0" borderId="1" xfId="12" applyNumberFormat="1" applyFont="1" applyBorder="1" applyAlignment="1">
      <alignment horizontal="center" vertical="center" wrapText="1"/>
    </xf>
    <xf numFmtId="44" fontId="6" fillId="0" borderId="1" xfId="2" applyNumberFormat="1" applyFont="1" applyBorder="1" applyAlignment="1" applyProtection="1">
      <alignment vertical="center" wrapText="1"/>
    </xf>
    <xf numFmtId="40" fontId="6" fillId="0" borderId="1" xfId="12" applyNumberFormat="1" applyFont="1" applyBorder="1" applyAlignment="1">
      <alignment vertical="center" wrapText="1"/>
    </xf>
    <xf numFmtId="185" fontId="6" fillId="0" borderId="1" xfId="12" applyNumberFormat="1" applyFont="1" applyBorder="1" applyAlignment="1">
      <alignment horizontal="center" vertical="center" wrapText="1"/>
    </xf>
    <xf numFmtId="177" fontId="6" fillId="0" borderId="0" xfId="12" applyNumberFormat="1" applyFont="1"/>
    <xf numFmtId="0" fontId="6" fillId="0" borderId="1" xfId="12" applyFont="1" applyBorder="1" applyAlignment="1">
      <alignment horizontal="left" vertical="top" wrapText="1" indent="1"/>
    </xf>
    <xf numFmtId="40" fontId="6" fillId="0" borderId="1" xfId="12" applyNumberFormat="1" applyFont="1" applyBorder="1" applyAlignment="1">
      <alignment wrapText="1"/>
    </xf>
    <xf numFmtId="49" fontId="16" fillId="0" borderId="2" xfId="12" applyNumberFormat="1" applyFont="1" applyBorder="1" applyAlignment="1">
      <alignment horizontal="left" vertical="center" wrapText="1"/>
    </xf>
    <xf numFmtId="49" fontId="16" fillId="0" borderId="1" xfId="12" applyNumberFormat="1" applyFont="1" applyBorder="1" applyAlignment="1">
      <alignment horizontal="center" wrapText="1"/>
    </xf>
    <xf numFmtId="170" fontId="16" fillId="0" borderId="1" xfId="12" applyNumberFormat="1" applyFont="1" applyBorder="1" applyAlignment="1">
      <alignment horizontal="center" wrapText="1"/>
    </xf>
    <xf numFmtId="169" fontId="16" fillId="0" borderId="1" xfId="12" applyNumberFormat="1" applyFont="1" applyBorder="1" applyAlignment="1">
      <alignment wrapText="1"/>
    </xf>
    <xf numFmtId="0" fontId="6" fillId="0" borderId="0" xfId="12" applyFont="1" applyAlignment="1">
      <alignment horizontal="center" vertical="center" wrapText="1"/>
    </xf>
    <xf numFmtId="173" fontId="8" fillId="0" borderId="4" xfId="12" applyNumberFormat="1" applyFont="1" applyBorder="1" applyAlignment="1">
      <alignment horizontal="left" vertical="center"/>
    </xf>
    <xf numFmtId="0" fontId="8" fillId="0" borderId="3" xfId="12" applyFont="1" applyBorder="1" applyAlignment="1">
      <alignment vertical="center"/>
    </xf>
    <xf numFmtId="49" fontId="19" fillId="0" borderId="3" xfId="12" applyNumberFormat="1" applyFont="1" applyBorder="1" applyAlignment="1">
      <alignment horizontal="center" vertical="center" wrapText="1"/>
    </xf>
    <xf numFmtId="170" fontId="19" fillId="0" borderId="4" xfId="12" applyNumberFormat="1" applyFont="1" applyBorder="1" applyAlignment="1">
      <alignment horizontal="center" vertical="center" wrapText="1"/>
    </xf>
    <xf numFmtId="169" fontId="19" fillId="0" borderId="4" xfId="12" applyNumberFormat="1" applyFont="1" applyBorder="1" applyAlignment="1">
      <alignment vertical="center" wrapText="1"/>
    </xf>
    <xf numFmtId="44" fontId="8" fillId="0" borderId="4" xfId="2" applyNumberFormat="1" applyFont="1" applyBorder="1" applyAlignment="1" applyProtection="1">
      <alignment vertical="center" wrapText="1"/>
    </xf>
    <xf numFmtId="177" fontId="8" fillId="0" borderId="0" xfId="1" applyNumberFormat="1" applyFont="1" applyBorder="1" applyAlignment="1" applyProtection="1">
      <alignment vertical="center" wrapText="1"/>
    </xf>
    <xf numFmtId="168" fontId="8" fillId="0" borderId="0" xfId="1" applyNumberFormat="1" applyFont="1" applyBorder="1" applyAlignment="1" applyProtection="1">
      <alignment vertical="center" wrapText="1"/>
    </xf>
    <xf numFmtId="0" fontId="8" fillId="0" borderId="0" xfId="1" applyNumberFormat="1" applyFont="1" applyBorder="1" applyAlignment="1" applyProtection="1">
      <alignment vertical="center" wrapText="1"/>
    </xf>
    <xf numFmtId="0" fontId="6" fillId="0" borderId="12" xfId="12" applyFont="1" applyBorder="1" applyAlignment="1">
      <alignment horizontal="left" vertical="center"/>
    </xf>
    <xf numFmtId="0" fontId="6" fillId="0" borderId="12" xfId="12" applyFont="1" applyBorder="1" applyAlignment="1">
      <alignment vertical="center"/>
    </xf>
    <xf numFmtId="49" fontId="16" fillId="0" borderId="12" xfId="12" applyNumberFormat="1" applyFont="1" applyBorder="1" applyAlignment="1">
      <alignment horizontal="center" vertical="center" wrapText="1"/>
    </xf>
    <xf numFmtId="170" fontId="16" fillId="0" borderId="12" xfId="12" applyNumberFormat="1" applyFont="1" applyBorder="1" applyAlignment="1">
      <alignment horizontal="center" vertical="center" wrapText="1"/>
    </xf>
    <xf numFmtId="169" fontId="16" fillId="0" borderId="12" xfId="12" applyNumberFormat="1" applyFont="1" applyBorder="1" applyAlignment="1">
      <alignment vertical="center" wrapText="1"/>
    </xf>
    <xf numFmtId="167" fontId="6" fillId="0" borderId="12" xfId="2" applyNumberFormat="1" applyFont="1" applyBorder="1" applyAlignment="1" applyProtection="1">
      <alignment vertical="center" wrapText="1"/>
    </xf>
    <xf numFmtId="168" fontId="6" fillId="0" borderId="0" xfId="12" applyNumberFormat="1" applyFont="1" applyAlignment="1">
      <alignment vertical="center"/>
    </xf>
    <xf numFmtId="177" fontId="6" fillId="0" borderId="0" xfId="12" applyNumberFormat="1" applyFont="1" applyAlignment="1">
      <alignment wrapText="1"/>
    </xf>
    <xf numFmtId="168" fontId="6" fillId="0" borderId="0" xfId="12" applyNumberFormat="1" applyFont="1" applyAlignment="1">
      <alignment wrapText="1"/>
    </xf>
    <xf numFmtId="177" fontId="6" fillId="0" borderId="0" xfId="12" applyNumberFormat="1" applyFont="1" applyAlignment="1">
      <alignment vertical="top" wrapText="1"/>
    </xf>
    <xf numFmtId="0" fontId="6" fillId="0" borderId="9" xfId="12" applyFont="1" applyBorder="1" applyAlignment="1">
      <alignment horizontal="center" vertical="center" wrapText="1"/>
    </xf>
    <xf numFmtId="0" fontId="6" fillId="0" borderId="9" xfId="12" applyFont="1" applyBorder="1"/>
    <xf numFmtId="170" fontId="16" fillId="0" borderId="9" xfId="12" applyNumberFormat="1" applyFont="1" applyBorder="1" applyAlignment="1">
      <alignment horizontal="center" vertical="center" wrapText="1"/>
    </xf>
    <xf numFmtId="169" fontId="16" fillId="0" borderId="9" xfId="12" applyNumberFormat="1" applyFont="1" applyBorder="1" applyAlignment="1">
      <alignment horizontal="center" vertical="center" wrapText="1"/>
    </xf>
    <xf numFmtId="167" fontId="6" fillId="0" borderId="9" xfId="2" applyNumberFormat="1" applyFont="1" applyBorder="1" applyAlignment="1" applyProtection="1">
      <alignment horizontal="center" vertical="center" wrapText="1"/>
    </xf>
    <xf numFmtId="168" fontId="8" fillId="0" borderId="0" xfId="12" applyNumberFormat="1" applyFont="1" applyAlignment="1">
      <alignment horizontal="center" vertical="center" wrapText="1"/>
    </xf>
    <xf numFmtId="0" fontId="6" fillId="0" borderId="7" xfId="12" applyFont="1" applyBorder="1" applyAlignment="1">
      <alignment horizontal="left" vertical="center"/>
    </xf>
    <xf numFmtId="0" fontId="6" fillId="0" borderId="4" xfId="12" applyFont="1" applyBorder="1" applyAlignment="1">
      <alignment horizontal="center" vertical="center" wrapText="1"/>
    </xf>
    <xf numFmtId="49" fontId="16" fillId="0" borderId="4" xfId="12" applyNumberFormat="1" applyFont="1" applyBorder="1" applyAlignment="1">
      <alignment horizontal="center" vertical="center" wrapText="1"/>
    </xf>
    <xf numFmtId="170" fontId="16" fillId="0" borderId="4" xfId="12" applyNumberFormat="1" applyFont="1" applyBorder="1" applyAlignment="1">
      <alignment horizontal="center" vertical="center" wrapText="1"/>
    </xf>
    <xf numFmtId="169" fontId="16" fillId="0" borderId="4" xfId="12" applyNumberFormat="1" applyFont="1" applyBorder="1" applyAlignment="1">
      <alignment vertical="center" wrapText="1"/>
    </xf>
    <xf numFmtId="177" fontId="6" fillId="0" borderId="0" xfId="3" applyNumberFormat="1" applyFont="1" applyBorder="1" applyAlignment="1" applyProtection="1">
      <alignment vertical="center" wrapText="1"/>
    </xf>
    <xf numFmtId="177" fontId="6" fillId="0" borderId="0" xfId="1" applyNumberFormat="1" applyFont="1" applyBorder="1" applyAlignment="1" applyProtection="1">
      <alignment vertical="center" wrapText="1"/>
    </xf>
    <xf numFmtId="168" fontId="6" fillId="0" borderId="0" xfId="1" applyNumberFormat="1" applyFont="1" applyBorder="1" applyAlignment="1" applyProtection="1">
      <alignment vertical="center" wrapText="1"/>
    </xf>
    <xf numFmtId="0" fontId="6" fillId="0" borderId="0" xfId="1" applyNumberFormat="1" applyFont="1" applyBorder="1" applyAlignment="1" applyProtection="1">
      <alignment vertical="center" wrapText="1"/>
    </xf>
    <xf numFmtId="40" fontId="8" fillId="0" borderId="1" xfId="12" applyNumberFormat="1" applyFont="1" applyBorder="1" applyAlignment="1">
      <alignment horizontal="center" wrapText="1"/>
    </xf>
    <xf numFmtId="167" fontId="6" fillId="0" borderId="1" xfId="2" applyNumberFormat="1" applyFont="1" applyFill="1" applyBorder="1" applyAlignment="1" applyProtection="1">
      <alignment wrapText="1"/>
    </xf>
    <xf numFmtId="44" fontId="6" fillId="0" borderId="1" xfId="11" applyNumberFormat="1" applyFont="1" applyFill="1" applyBorder="1" applyAlignment="1" applyProtection="1">
      <alignment vertical="center"/>
    </xf>
    <xf numFmtId="174" fontId="6" fillId="0" borderId="0" xfId="1" applyNumberFormat="1" applyFont="1" applyBorder="1" applyAlignment="1" applyProtection="1">
      <alignment wrapText="1"/>
    </xf>
    <xf numFmtId="10" fontId="6" fillId="0" borderId="0" xfId="7" applyNumberFormat="1" applyFont="1" applyBorder="1" applyAlignment="1" applyProtection="1">
      <alignment wrapText="1"/>
    </xf>
    <xf numFmtId="174" fontId="6" fillId="0" borderId="1" xfId="11" applyNumberFormat="1" applyFont="1" applyFill="1" applyBorder="1" applyAlignment="1" applyProtection="1">
      <alignment vertical="center"/>
    </xf>
    <xf numFmtId="171" fontId="6" fillId="0" borderId="1" xfId="12" applyNumberFormat="1" applyFont="1" applyBorder="1" applyAlignment="1">
      <alignment horizontal="left" vertical="center" wrapText="1"/>
    </xf>
    <xf numFmtId="0" fontId="6" fillId="0" borderId="1" xfId="12" applyFont="1" applyBorder="1" applyAlignment="1">
      <alignment horizontal="left" vertical="center" wrapText="1"/>
    </xf>
    <xf numFmtId="44" fontId="6" fillId="0" borderId="1" xfId="11" applyNumberFormat="1" applyFont="1" applyBorder="1" applyAlignment="1" applyProtection="1">
      <alignment vertical="center"/>
    </xf>
    <xf numFmtId="174" fontId="6" fillId="0" borderId="1" xfId="11" applyNumberFormat="1" applyFont="1" applyBorder="1" applyAlignment="1" applyProtection="1">
      <alignment vertical="center"/>
    </xf>
    <xf numFmtId="171" fontId="6" fillId="0" borderId="1" xfId="12" applyNumberFormat="1" applyFont="1" applyBorder="1" applyAlignment="1">
      <alignment vertical="center" wrapText="1"/>
    </xf>
    <xf numFmtId="167" fontId="6" fillId="0" borderId="1" xfId="2" applyNumberFormat="1" applyFont="1" applyBorder="1" applyAlignment="1" applyProtection="1">
      <alignment horizontal="right" vertical="center" wrapText="1"/>
    </xf>
    <xf numFmtId="44" fontId="6" fillId="0" borderId="1" xfId="2" applyNumberFormat="1" applyFont="1" applyBorder="1" applyAlignment="1" applyProtection="1">
      <alignment horizontal="right" vertical="center" wrapText="1"/>
    </xf>
    <xf numFmtId="10" fontId="6" fillId="0" borderId="1" xfId="12" applyNumberFormat="1" applyFont="1" applyBorder="1" applyAlignment="1">
      <alignment vertical="center" wrapText="1"/>
    </xf>
    <xf numFmtId="49" fontId="26" fillId="0" borderId="1" xfId="12" applyNumberFormat="1" applyFont="1" applyBorder="1" applyAlignment="1">
      <alignment vertical="top" wrapText="1"/>
    </xf>
    <xf numFmtId="0" fontId="6" fillId="0" borderId="1" xfId="12" applyFont="1" applyBorder="1" applyAlignment="1">
      <alignment vertical="top" wrapText="1"/>
    </xf>
    <xf numFmtId="3" fontId="6" fillId="0" borderId="1" xfId="12" applyNumberFormat="1" applyFont="1" applyBorder="1" applyAlignment="1">
      <alignment horizontal="center" vertical="center" wrapText="1"/>
    </xf>
    <xf numFmtId="4" fontId="6" fillId="0" borderId="1" xfId="12" applyNumberFormat="1" applyFont="1" applyBorder="1" applyAlignment="1">
      <alignment horizontal="center" vertical="center" wrapText="1"/>
    </xf>
    <xf numFmtId="0" fontId="8" fillId="0" borderId="3" xfId="12" applyFont="1" applyBorder="1" applyAlignment="1">
      <alignment horizontal="left" vertical="center" wrapText="1"/>
    </xf>
    <xf numFmtId="0" fontId="8" fillId="0" borderId="16" xfId="12" applyFont="1" applyBorder="1" applyAlignment="1">
      <alignment horizontal="left" vertical="center" wrapText="1"/>
    </xf>
    <xf numFmtId="44" fontId="8" fillId="0" borderId="4" xfId="1" applyNumberFormat="1" applyFont="1" applyBorder="1" applyAlignment="1" applyProtection="1">
      <alignment vertical="center" wrapText="1"/>
    </xf>
    <xf numFmtId="174" fontId="8" fillId="0" borderId="0" xfId="1" applyNumberFormat="1" applyFont="1" applyBorder="1" applyAlignment="1" applyProtection="1">
      <alignment vertical="center" wrapText="1"/>
    </xf>
    <xf numFmtId="3" fontId="6" fillId="0" borderId="0" xfId="12" applyNumberFormat="1" applyFont="1" applyAlignment="1">
      <alignment horizontal="center" wrapText="1"/>
    </xf>
    <xf numFmtId="4" fontId="6" fillId="0" borderId="0" xfId="12" applyNumberFormat="1" applyFont="1" applyAlignment="1">
      <alignment horizontal="center" wrapText="1"/>
    </xf>
    <xf numFmtId="0" fontId="6" fillId="0" borderId="0" xfId="0" applyFont="1" applyAlignment="1">
      <alignment wrapText="1"/>
    </xf>
    <xf numFmtId="168" fontId="8" fillId="0" borderId="0" xfId="0" applyNumberFormat="1" applyFont="1" applyAlignment="1">
      <alignment horizontal="center" vertical="center" wrapText="1"/>
    </xf>
    <xf numFmtId="168"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horizontal="left" vertical="top"/>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vertical="center" wrapText="1"/>
    </xf>
    <xf numFmtId="0" fontId="6" fillId="0" borderId="0" xfId="0" applyFont="1" applyAlignment="1">
      <alignment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0" fontId="6" fillId="0" borderId="2" xfId="0" applyFont="1" applyBorder="1" applyAlignment="1">
      <alignment vertical="center" wrapText="1"/>
    </xf>
    <xf numFmtId="168" fontId="8" fillId="0" borderId="0" xfId="0" applyNumberFormat="1" applyFont="1" applyAlignment="1">
      <alignment vertical="center"/>
    </xf>
    <xf numFmtId="168" fontId="8" fillId="0" borderId="0" xfId="0" applyNumberFormat="1" applyFont="1" applyAlignment="1">
      <alignment vertical="center" wrapText="1"/>
    </xf>
    <xf numFmtId="0" fontId="8" fillId="0" borderId="9" xfId="0" applyFont="1" applyBorder="1" applyAlignment="1">
      <alignment horizontal="left"/>
    </xf>
    <xf numFmtId="0" fontId="8" fillId="0" borderId="9" xfId="0" applyFont="1" applyBorder="1" applyAlignment="1">
      <alignment horizontal="left" vertical="center"/>
    </xf>
    <xf numFmtId="0" fontId="8" fillId="0" borderId="11" xfId="0" applyFont="1" applyBorder="1" applyAlignment="1">
      <alignment horizontal="left"/>
    </xf>
    <xf numFmtId="0" fontId="6" fillId="0" borderId="2" xfId="0" applyFont="1" applyBorder="1" applyAlignment="1">
      <alignment wrapText="1"/>
    </xf>
    <xf numFmtId="3" fontId="8" fillId="0" borderId="4"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6" fillId="0" borderId="1" xfId="0" applyFont="1" applyBorder="1" applyAlignment="1">
      <alignment horizontal="left" wrapText="1"/>
    </xf>
    <xf numFmtId="3" fontId="6" fillId="0" borderId="1" xfId="0" applyNumberFormat="1" applyFont="1" applyBorder="1" applyAlignment="1">
      <alignment horizontal="center" wrapText="1"/>
    </xf>
    <xf numFmtId="167" fontId="6" fillId="0" borderId="1" xfId="0" applyNumberFormat="1" applyFont="1" applyBorder="1" applyAlignment="1">
      <alignment wrapText="1"/>
    </xf>
    <xf numFmtId="0" fontId="6" fillId="0" borderId="0" xfId="1" applyNumberFormat="1" applyFont="1" applyBorder="1" applyAlignment="1" applyProtection="1"/>
    <xf numFmtId="173" fontId="8" fillId="0" borderId="1" xfId="0" applyNumberFormat="1" applyFont="1" applyBorder="1" applyAlignment="1">
      <alignment horizontal="left" wrapText="1"/>
    </xf>
    <xf numFmtId="0" fontId="18" fillId="0" borderId="1" xfId="0" applyFont="1" applyBorder="1" applyAlignment="1">
      <alignment wrapText="1"/>
    </xf>
    <xf numFmtId="38" fontId="6" fillId="0" borderId="1" xfId="0" applyNumberFormat="1" applyFont="1" applyBorder="1" applyAlignment="1">
      <alignment horizontal="center" wrapText="1"/>
    </xf>
    <xf numFmtId="4" fontId="6" fillId="0" borderId="1" xfId="0" applyNumberFormat="1" applyFont="1" applyBorder="1" applyAlignment="1">
      <alignment wrapText="1"/>
    </xf>
    <xf numFmtId="173" fontId="6" fillId="0" borderId="1" xfId="0" applyNumberFormat="1" applyFont="1" applyBorder="1" applyAlignment="1">
      <alignment horizontal="left" wrapText="1"/>
    </xf>
    <xf numFmtId="0" fontId="15" fillId="0" borderId="1" xfId="0" applyFont="1" applyBorder="1" applyAlignment="1">
      <alignment horizontal="left" vertical="center" wrapText="1"/>
    </xf>
    <xf numFmtId="38" fontId="6" fillId="0" borderId="1" xfId="0" applyNumberFormat="1" applyFont="1" applyBorder="1" applyAlignment="1">
      <alignment horizontal="center" vertical="center" wrapText="1"/>
    </xf>
    <xf numFmtId="44" fontId="6" fillId="0" borderId="1" xfId="2" applyNumberFormat="1" applyFont="1" applyFill="1" applyBorder="1" applyAlignment="1" applyProtection="1">
      <alignment vertical="center" wrapText="1"/>
    </xf>
    <xf numFmtId="4" fontId="6" fillId="0" borderId="1" xfId="0" applyNumberFormat="1" applyFont="1" applyBorder="1" applyAlignment="1">
      <alignment vertical="center" wrapText="1"/>
    </xf>
    <xf numFmtId="167" fontId="6" fillId="0" borderId="1" xfId="2" applyNumberFormat="1" applyFont="1" applyFill="1" applyBorder="1" applyAlignment="1" applyProtection="1">
      <alignment vertical="center" wrapText="1"/>
    </xf>
    <xf numFmtId="0" fontId="15" fillId="0" borderId="1" xfId="0" applyFont="1" applyBorder="1" applyAlignment="1">
      <alignment wrapText="1"/>
    </xf>
    <xf numFmtId="0" fontId="27" fillId="0" borderId="1" xfId="0" applyFont="1" applyBorder="1" applyAlignment="1">
      <alignment horizontal="center" vertical="center" wrapText="1"/>
    </xf>
    <xf numFmtId="49" fontId="6" fillId="0" borderId="1" xfId="0" applyNumberFormat="1" applyFont="1" applyBorder="1" applyAlignment="1">
      <alignment horizontal="left" wrapText="1"/>
    </xf>
    <xf numFmtId="0" fontId="5" fillId="3" borderId="0" xfId="0" applyFont="1" applyFill="1" applyAlignment="1">
      <alignment horizontal="left" wrapText="1"/>
    </xf>
    <xf numFmtId="4" fontId="6" fillId="0" borderId="1" xfId="1" applyNumberFormat="1" applyFont="1" applyFill="1" applyBorder="1" applyAlignment="1" applyProtection="1">
      <alignment horizontal="center" vertical="center" wrapText="1"/>
    </xf>
    <xf numFmtId="44" fontId="6" fillId="0" borderId="1" xfId="3" applyNumberFormat="1" applyFont="1" applyBorder="1" applyAlignment="1" applyProtection="1">
      <alignment horizontal="right" vertical="center" wrapText="1"/>
    </xf>
    <xf numFmtId="167" fontId="6" fillId="0" borderId="0" xfId="3" applyNumberFormat="1" applyFont="1" applyBorder="1" applyAlignment="1" applyProtection="1">
      <alignment horizontal="right" wrapText="1"/>
    </xf>
    <xf numFmtId="3" fontId="6" fillId="0" borderId="1" xfId="1" applyNumberFormat="1" applyFont="1" applyFill="1" applyBorder="1" applyAlignment="1" applyProtection="1">
      <alignment horizontal="center" vertical="center" wrapText="1"/>
    </xf>
    <xf numFmtId="44" fontId="6" fillId="0" borderId="1" xfId="1" applyNumberFormat="1" applyFont="1" applyBorder="1" applyAlignment="1" applyProtection="1">
      <alignment horizontal="right" vertical="center" wrapText="1"/>
    </xf>
    <xf numFmtId="0" fontId="6" fillId="0" borderId="0" xfId="0" applyFont="1" applyAlignment="1">
      <alignment horizontal="left" vertical="center" wrapText="1"/>
    </xf>
    <xf numFmtId="0" fontId="6" fillId="0" borderId="0" xfId="1" applyNumberFormat="1" applyFont="1" applyBorder="1" applyAlignment="1" applyProtection="1">
      <alignment vertical="center"/>
    </xf>
    <xf numFmtId="0" fontId="5" fillId="3" borderId="0" xfId="0" applyFont="1" applyFill="1" applyAlignment="1">
      <alignment horizontal="left" vertical="center" wrapText="1"/>
    </xf>
    <xf numFmtId="0" fontId="6" fillId="0" borderId="1" xfId="0" applyFont="1" applyBorder="1" applyAlignment="1">
      <alignment horizontal="left" vertical="top" wrapText="1"/>
    </xf>
    <xf numFmtId="174" fontId="6" fillId="0" borderId="1" xfId="0" applyNumberFormat="1" applyFont="1" applyBorder="1" applyAlignment="1">
      <alignment vertical="center"/>
    </xf>
    <xf numFmtId="167" fontId="6" fillId="0" borderId="1" xfId="1" applyNumberFormat="1" applyFont="1" applyBorder="1" applyAlignment="1" applyProtection="1">
      <alignment horizontal="right" vertical="center" wrapText="1"/>
    </xf>
    <xf numFmtId="44" fontId="6" fillId="0" borderId="1" xfId="2" applyNumberFormat="1" applyFont="1" applyBorder="1" applyAlignment="1" applyProtection="1">
      <alignment horizontal="center" vertical="center" wrapText="1"/>
    </xf>
    <xf numFmtId="0" fontId="6" fillId="0" borderId="1" xfId="0" applyFont="1" applyBorder="1" applyAlignment="1">
      <alignment vertical="top" wrapText="1"/>
    </xf>
    <xf numFmtId="40" fontId="6" fillId="0" borderId="1" xfId="0" applyNumberFormat="1" applyFont="1" applyBorder="1" applyAlignment="1">
      <alignment vertical="center" wrapText="1"/>
    </xf>
    <xf numFmtId="0" fontId="6" fillId="5" borderId="0" xfId="0" applyFont="1" applyFill="1" applyAlignment="1">
      <alignment wrapText="1"/>
    </xf>
    <xf numFmtId="38" fontId="30" fillId="0" borderId="1" xfId="0" applyNumberFormat="1" applyFont="1" applyBorder="1" applyAlignment="1">
      <alignment horizontal="center" vertical="center" wrapText="1"/>
    </xf>
    <xf numFmtId="177" fontId="6" fillId="0" borderId="0" xfId="0" applyNumberFormat="1" applyFont="1"/>
    <xf numFmtId="40" fontId="6" fillId="0" borderId="1" xfId="0" applyNumberFormat="1" applyFont="1" applyBorder="1" applyAlignment="1">
      <alignment wrapText="1"/>
    </xf>
    <xf numFmtId="173" fontId="8" fillId="0" borderId="4" xfId="0" applyNumberFormat="1" applyFont="1" applyBorder="1" applyAlignment="1">
      <alignment horizontal="center" vertical="center"/>
    </xf>
    <xf numFmtId="49" fontId="19" fillId="0" borderId="3" xfId="0" applyNumberFormat="1" applyFont="1" applyBorder="1" applyAlignment="1">
      <alignment horizontal="center" vertical="center" wrapText="1"/>
    </xf>
    <xf numFmtId="170" fontId="19" fillId="0" borderId="4" xfId="0" applyNumberFormat="1" applyFont="1" applyBorder="1" applyAlignment="1">
      <alignment horizontal="center" vertical="center" wrapText="1"/>
    </xf>
    <xf numFmtId="169" fontId="19" fillId="0" borderId="4" xfId="0" applyNumberFormat="1" applyFont="1" applyBorder="1" applyAlignment="1">
      <alignment vertical="center" wrapText="1"/>
    </xf>
    <xf numFmtId="0" fontId="8" fillId="0" borderId="0" xfId="1" applyNumberFormat="1" applyFont="1" applyBorder="1" applyAlignment="1" applyProtection="1">
      <alignment vertical="center"/>
    </xf>
    <xf numFmtId="0" fontId="6" fillId="0" borderId="12" xfId="0" applyFont="1" applyBorder="1" applyAlignment="1">
      <alignment horizontal="left" vertical="center"/>
    </xf>
    <xf numFmtId="0" fontId="6" fillId="0" borderId="12" xfId="0" applyFont="1" applyBorder="1" applyAlignment="1">
      <alignment vertical="center"/>
    </xf>
    <xf numFmtId="49" fontId="16" fillId="0" borderId="12" xfId="0" applyNumberFormat="1" applyFont="1" applyBorder="1" applyAlignment="1">
      <alignment horizontal="center" vertical="center" wrapText="1"/>
    </xf>
    <xf numFmtId="170" fontId="16" fillId="0" borderId="12" xfId="0" applyNumberFormat="1" applyFont="1" applyBorder="1" applyAlignment="1">
      <alignment horizontal="center" vertical="center" wrapText="1"/>
    </xf>
    <xf numFmtId="169" fontId="16" fillId="0" borderId="12" xfId="0" applyNumberFormat="1" applyFont="1" applyBorder="1" applyAlignment="1">
      <alignment vertical="center" wrapText="1"/>
    </xf>
    <xf numFmtId="3" fontId="6" fillId="0" borderId="0" xfId="0" applyNumberFormat="1" applyFont="1" applyAlignment="1">
      <alignment horizontal="center" wrapText="1"/>
    </xf>
    <xf numFmtId="4" fontId="6" fillId="0" borderId="0" xfId="0" applyNumberFormat="1" applyFont="1" applyAlignment="1">
      <alignment horizontal="center" wrapText="1"/>
    </xf>
    <xf numFmtId="2" fontId="6" fillId="0" borderId="0" xfId="0" applyNumberFormat="1" applyFont="1" applyAlignment="1">
      <alignment vertical="top"/>
    </xf>
    <xf numFmtId="0" fontId="8" fillId="3" borderId="0" xfId="0" applyFont="1" applyFill="1" applyAlignment="1">
      <alignment horizontal="right" indent="1"/>
    </xf>
    <xf numFmtId="49" fontId="6" fillId="0" borderId="0" xfId="0" applyNumberFormat="1" applyFont="1" applyAlignment="1">
      <alignment horizontal="left" vertical="top"/>
    </xf>
    <xf numFmtId="0" fontId="6" fillId="0" borderId="0" xfId="0" applyFont="1" applyAlignment="1">
      <alignment horizontal="left" vertical="top"/>
    </xf>
    <xf numFmtId="0" fontId="6" fillId="0" borderId="0" xfId="0" applyFont="1" applyAlignment="1">
      <alignment horizontal="center" vertical="top"/>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8" fillId="0" borderId="14" xfId="0" applyNumberFormat="1" applyFont="1" applyBorder="1" applyAlignment="1">
      <alignment horizontal="left" vertical="center"/>
    </xf>
    <xf numFmtId="2" fontId="6" fillId="0" borderId="0" xfId="0" applyNumberFormat="1" applyFont="1" applyAlignment="1">
      <alignment vertical="center"/>
    </xf>
    <xf numFmtId="49" fontId="6" fillId="0" borderId="0" xfId="0" applyNumberFormat="1" applyFont="1" applyAlignment="1">
      <alignment horizontal="left" vertical="top" wrapText="1"/>
    </xf>
    <xf numFmtId="39" fontId="6" fillId="0" borderId="0" xfId="3" applyNumberFormat="1" applyFont="1" applyBorder="1" applyAlignment="1" applyProtection="1">
      <alignment horizontal="right" vertical="center" wrapText="1"/>
    </xf>
    <xf numFmtId="49" fontId="8" fillId="0" borderId="10" xfId="0" applyNumberFormat="1" applyFont="1" applyBorder="1" applyAlignment="1">
      <alignment horizontal="left" vertical="top"/>
    </xf>
    <xf numFmtId="49" fontId="8" fillId="0" borderId="9" xfId="0" applyNumberFormat="1" applyFont="1" applyBorder="1" applyAlignment="1">
      <alignment horizontal="left" vertical="top" wrapText="1"/>
    </xf>
    <xf numFmtId="49" fontId="8" fillId="0" borderId="9" xfId="0" applyNumberFormat="1" applyFont="1" applyBorder="1" applyAlignment="1">
      <alignment horizontal="left" vertical="center" wrapText="1"/>
    </xf>
    <xf numFmtId="49" fontId="8" fillId="0" borderId="9" xfId="0" applyNumberFormat="1" applyFont="1" applyBorder="1" applyAlignment="1">
      <alignment horizontal="center" vertical="center" wrapText="1"/>
    </xf>
    <xf numFmtId="49" fontId="6" fillId="0" borderId="11" xfId="0" applyNumberFormat="1" applyFont="1" applyBorder="1" applyAlignment="1">
      <alignment horizontal="left" vertical="center" wrapText="1"/>
    </xf>
    <xf numFmtId="0" fontId="8" fillId="0" borderId="0" xfId="0" applyFont="1" applyAlignment="1">
      <alignment horizontal="center" vertical="top"/>
    </xf>
    <xf numFmtId="49" fontId="8" fillId="0" borderId="0" xfId="0" applyNumberFormat="1" applyFont="1" applyAlignment="1">
      <alignment horizontal="center" vertical="center" wrapText="1"/>
    </xf>
    <xf numFmtId="2" fontId="8" fillId="0" borderId="0" xfId="0" applyNumberFormat="1" applyFont="1" applyAlignment="1">
      <alignment horizontal="center" vertical="top"/>
    </xf>
    <xf numFmtId="49" fontId="6" fillId="0" borderId="1" xfId="0" applyNumberFormat="1" applyFont="1" applyBorder="1" applyAlignment="1">
      <alignment horizontal="center" vertical="top"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vertical="center" wrapText="1"/>
    </xf>
    <xf numFmtId="49" fontId="6" fillId="0" borderId="0" xfId="0" applyNumberFormat="1" applyFont="1" applyAlignment="1">
      <alignment wrapText="1"/>
    </xf>
    <xf numFmtId="49"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49" fontId="6" fillId="0" borderId="0" xfId="1" applyNumberFormat="1" applyFont="1" applyBorder="1" applyAlignment="1" applyProtection="1">
      <alignment wrapText="1"/>
    </xf>
    <xf numFmtId="174" fontId="6" fillId="0" borderId="1" xfId="0" applyNumberFormat="1" applyFont="1" applyBorder="1" applyAlignment="1">
      <alignment vertical="center" wrapText="1"/>
    </xf>
    <xf numFmtId="174" fontId="6" fillId="0" borderId="0" xfId="11" applyNumberFormat="1" applyFont="1" applyBorder="1" applyProtection="1"/>
    <xf numFmtId="9" fontId="6" fillId="2" borderId="0" xfId="7" applyFont="1" applyFill="1" applyBorder="1" applyAlignment="1" applyProtection="1">
      <alignment wrapText="1"/>
    </xf>
    <xf numFmtId="167" fontId="6" fillId="0" borderId="1" xfId="0" applyNumberFormat="1" applyFont="1" applyBorder="1" applyAlignment="1">
      <alignment vertical="center" wrapText="1"/>
    </xf>
    <xf numFmtId="170" fontId="16" fillId="0" borderId="1" xfId="0" applyNumberFormat="1" applyFont="1" applyBorder="1" applyAlignment="1">
      <alignment horizontal="center" vertical="center" wrapText="1"/>
    </xf>
    <xf numFmtId="184" fontId="6" fillId="0" borderId="0" xfId="1" applyNumberFormat="1" applyFont="1" applyBorder="1" applyAlignment="1" applyProtection="1">
      <alignment wrapText="1"/>
    </xf>
    <xf numFmtId="49" fontId="16" fillId="0" borderId="1" xfId="0" applyNumberFormat="1" applyFont="1" applyBorder="1" applyAlignment="1">
      <alignment vertical="top"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wrapText="1"/>
    </xf>
    <xf numFmtId="2" fontId="16" fillId="0" borderId="1" xfId="0" applyNumberFormat="1" applyFont="1" applyBorder="1" applyAlignment="1">
      <alignment horizontal="center" vertical="center" wrapText="1"/>
    </xf>
    <xf numFmtId="169" fontId="16" fillId="0" borderId="0" xfId="0" applyNumberFormat="1" applyFont="1" applyAlignment="1">
      <alignment wrapText="1"/>
    </xf>
    <xf numFmtId="170" fontId="16" fillId="0" borderId="1" xfId="0" applyNumberFormat="1" applyFont="1" applyBorder="1" applyAlignment="1">
      <alignment horizontal="right" vertical="center" wrapText="1"/>
    </xf>
    <xf numFmtId="169" fontId="16" fillId="0" borderId="1" xfId="0" applyNumberFormat="1" applyFont="1" applyBorder="1" applyAlignment="1">
      <alignment vertical="center" wrapText="1"/>
    </xf>
    <xf numFmtId="44" fontId="8" fillId="0" borderId="4" xfId="0" applyNumberFormat="1" applyFont="1" applyBorder="1" applyAlignment="1">
      <alignment vertical="center"/>
    </xf>
    <xf numFmtId="167" fontId="8" fillId="0" borderId="0" xfId="0" applyNumberFormat="1" applyFont="1" applyAlignment="1">
      <alignment vertical="center"/>
    </xf>
    <xf numFmtId="2" fontId="8" fillId="0" borderId="0" xfId="0" applyNumberFormat="1" applyFont="1" applyAlignment="1">
      <alignment vertical="top"/>
    </xf>
    <xf numFmtId="0" fontId="8" fillId="0" borderId="0" xfId="0" applyFont="1" applyAlignment="1">
      <alignment vertical="top"/>
    </xf>
    <xf numFmtId="0" fontId="6" fillId="0" borderId="0" xfId="0" applyFont="1" applyAlignment="1">
      <alignment horizontal="right" vertical="top"/>
    </xf>
    <xf numFmtId="0" fontId="6" fillId="0" borderId="10" xfId="0" applyFont="1" applyBorder="1" applyAlignment="1">
      <alignment vertical="top"/>
    </xf>
    <xf numFmtId="49" fontId="8" fillId="0" borderId="11" xfId="0" applyNumberFormat="1" applyFont="1" applyBorder="1" applyAlignment="1">
      <alignment horizontal="left" vertical="top" wrapText="1"/>
    </xf>
    <xf numFmtId="169" fontId="16" fillId="0" borderId="1" xfId="0" applyNumberFormat="1" applyFont="1" applyBorder="1" applyAlignment="1">
      <alignment wrapText="1"/>
    </xf>
    <xf numFmtId="49" fontId="8" fillId="0" borderId="1" xfId="0" applyNumberFormat="1" applyFont="1" applyBorder="1" applyAlignment="1">
      <alignment horizontal="left" vertical="top" wrapText="1"/>
    </xf>
    <xf numFmtId="49" fontId="16" fillId="0" borderId="1" xfId="0" applyNumberFormat="1" applyFont="1" applyBorder="1" applyAlignment="1">
      <alignment horizontal="left" vertical="top" wrapText="1"/>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169" fontId="16" fillId="0" borderId="1" xfId="0" applyNumberFormat="1" applyFont="1" applyBorder="1" applyAlignment="1">
      <alignment vertical="top" wrapText="1"/>
    </xf>
    <xf numFmtId="174" fontId="6" fillId="0" borderId="1" xfId="11" applyNumberFormat="1" applyFont="1" applyBorder="1" applyAlignment="1" applyProtection="1">
      <alignment vertical="top"/>
    </xf>
    <xf numFmtId="174" fontId="6" fillId="0" borderId="1" xfId="11" applyNumberFormat="1" applyFont="1" applyBorder="1" applyProtection="1"/>
    <xf numFmtId="0" fontId="16" fillId="0" borderId="1" xfId="0" applyFont="1" applyBorder="1" applyAlignment="1">
      <alignment horizontal="left" vertical="top" wrapText="1"/>
    </xf>
    <xf numFmtId="0" fontId="16" fillId="0" borderId="1" xfId="0" applyFont="1" applyBorder="1" applyAlignment="1">
      <alignment horizontal="center" wrapText="1"/>
    </xf>
    <xf numFmtId="0" fontId="6" fillId="0" borderId="1" xfId="0" applyFont="1" applyBorder="1" applyAlignment="1">
      <alignment horizontal="left" vertical="top" wrapText="1" indent="1"/>
    </xf>
    <xf numFmtId="49" fontId="16" fillId="0" borderId="1" xfId="0" applyNumberFormat="1" applyFont="1" applyBorder="1" applyAlignment="1">
      <alignment horizontal="center" vertical="top" wrapText="1"/>
    </xf>
    <xf numFmtId="0" fontId="16" fillId="0" borderId="1" xfId="0" applyFont="1" applyBorder="1" applyAlignment="1">
      <alignment horizontal="left" vertical="center" wrapText="1"/>
    </xf>
    <xf numFmtId="0" fontId="16" fillId="0" borderId="1" xfId="0" applyFont="1" applyBorder="1" applyAlignment="1">
      <alignment horizontal="left" vertical="top" wrapText="1" indent="1"/>
    </xf>
    <xf numFmtId="0" fontId="6" fillId="0" borderId="1" xfId="0" applyFont="1" applyBorder="1" applyAlignment="1">
      <alignment horizontal="center" vertical="top" wrapText="1"/>
    </xf>
    <xf numFmtId="167" fontId="6" fillId="0" borderId="1" xfId="0" applyNumberFormat="1" applyFont="1" applyBorder="1" applyAlignment="1">
      <alignment vertical="top" wrapText="1"/>
    </xf>
    <xf numFmtId="0" fontId="8" fillId="0" borderId="7" xfId="0" applyFont="1" applyBorder="1" applyAlignment="1">
      <alignment horizontal="center" vertical="center"/>
    </xf>
    <xf numFmtId="167" fontId="8" fillId="0" borderId="3" xfId="0" applyNumberFormat="1" applyFont="1" applyBorder="1" applyAlignment="1">
      <alignment vertical="center"/>
    </xf>
    <xf numFmtId="0" fontId="6" fillId="0" borderId="6" xfId="0" applyFont="1" applyBorder="1"/>
    <xf numFmtId="0" fontId="6" fillId="0" borderId="12" xfId="0" applyFont="1" applyBorder="1"/>
    <xf numFmtId="0" fontId="6" fillId="0" borderId="12" xfId="0" applyFont="1" applyBorder="1" applyAlignment="1">
      <alignment horizontal="center" vertical="center"/>
    </xf>
    <xf numFmtId="0" fontId="6" fillId="0" borderId="12" xfId="0" applyFont="1" applyBorder="1" applyAlignment="1">
      <alignment horizontal="center"/>
    </xf>
    <xf numFmtId="3" fontId="6" fillId="0" borderId="12" xfId="0" applyNumberFormat="1" applyFont="1" applyBorder="1" applyAlignment="1">
      <alignment horizontal="center" vertical="center"/>
    </xf>
    <xf numFmtId="4" fontId="6" fillId="0" borderId="12" xfId="0" applyNumberFormat="1" applyFont="1" applyBorder="1" applyAlignment="1">
      <alignment horizontal="right"/>
    </xf>
    <xf numFmtId="4" fontId="6" fillId="0" borderId="6" xfId="0" applyNumberFormat="1" applyFont="1" applyBorder="1"/>
    <xf numFmtId="0" fontId="6" fillId="0" borderId="1" xfId="0" applyFont="1" applyBorder="1"/>
    <xf numFmtId="0" fontId="6" fillId="0" borderId="0" xfId="0" applyFont="1" applyAlignment="1">
      <alignment horizontal="center"/>
    </xf>
    <xf numFmtId="3" fontId="6" fillId="0" borderId="0" xfId="0" applyNumberFormat="1" applyFont="1" applyAlignment="1">
      <alignment horizontal="center" vertical="center"/>
    </xf>
    <xf numFmtId="4" fontId="6" fillId="0" borderId="0" xfId="0" applyNumberFormat="1" applyFont="1" applyAlignment="1">
      <alignment horizontal="right"/>
    </xf>
    <xf numFmtId="44" fontId="8" fillId="0" borderId="1" xfId="0" applyNumberFormat="1" applyFont="1" applyBorder="1" applyAlignment="1">
      <alignment vertical="center"/>
    </xf>
    <xf numFmtId="0" fontId="6" fillId="0" borderId="8" xfId="0" applyFont="1" applyBorder="1"/>
    <xf numFmtId="0" fontId="6" fillId="0" borderId="9" xfId="0" applyFont="1" applyBorder="1"/>
    <xf numFmtId="0" fontId="6" fillId="0" borderId="9" xfId="0" applyFont="1" applyBorder="1" applyAlignment="1">
      <alignment horizontal="center" vertical="center"/>
    </xf>
    <xf numFmtId="0" fontId="6" fillId="0" borderId="9" xfId="0" applyFont="1" applyBorder="1" applyAlignment="1">
      <alignment horizontal="center"/>
    </xf>
    <xf numFmtId="3" fontId="6" fillId="0" borderId="9" xfId="0" applyNumberFormat="1" applyFont="1" applyBorder="1" applyAlignment="1">
      <alignment horizontal="center" vertical="center"/>
    </xf>
    <xf numFmtId="4" fontId="6" fillId="0" borderId="9" xfId="0" applyNumberFormat="1" applyFont="1" applyBorder="1" applyAlignment="1">
      <alignment horizontal="right"/>
    </xf>
    <xf numFmtId="4" fontId="6" fillId="0" borderId="8" xfId="0" applyNumberFormat="1" applyFont="1" applyBorder="1"/>
    <xf numFmtId="49" fontId="6" fillId="0" borderId="1" xfId="0" applyNumberFormat="1" applyFont="1" applyBorder="1" applyAlignment="1">
      <alignment horizontal="left" vertical="top" wrapText="1" indent="1"/>
    </xf>
    <xf numFmtId="0" fontId="6" fillId="0" borderId="1" xfId="0" applyFont="1" applyBorder="1" applyAlignment="1">
      <alignment horizontal="left" vertical="top" wrapText="1" indent="2"/>
    </xf>
    <xf numFmtId="49" fontId="16" fillId="0" borderId="1" xfId="0" applyNumberFormat="1" applyFont="1" applyBorder="1" applyAlignment="1">
      <alignment horizontal="left" vertical="top" wrapText="1" indent="2"/>
    </xf>
    <xf numFmtId="49" fontId="16" fillId="0" borderId="1" xfId="0" applyNumberFormat="1" applyFont="1" applyBorder="1" applyAlignment="1">
      <alignment horizontal="left" vertical="top" wrapText="1" indent="1"/>
    </xf>
    <xf numFmtId="44" fontId="6" fillId="0" borderId="1" xfId="11" applyNumberFormat="1" applyFont="1" applyBorder="1" applyAlignment="1" applyProtection="1">
      <alignment horizontal="center" vertical="center"/>
    </xf>
    <xf numFmtId="169" fontId="16" fillId="0" borderId="1" xfId="0" applyNumberFormat="1" applyFont="1" applyBorder="1" applyAlignment="1">
      <alignment horizontal="center" vertical="center" wrapText="1"/>
    </xf>
    <xf numFmtId="44" fontId="6" fillId="0" borderId="1" xfId="0" applyNumberFormat="1" applyFont="1" applyBorder="1" applyAlignment="1">
      <alignment vertical="center" wrapText="1"/>
    </xf>
    <xf numFmtId="167" fontId="6" fillId="0" borderId="1" xfId="0" applyNumberFormat="1" applyFont="1" applyBorder="1" applyAlignment="1">
      <alignment horizontal="center" vertical="center" wrapText="1"/>
    </xf>
    <xf numFmtId="9" fontId="16" fillId="0" borderId="1" xfId="0" applyNumberFormat="1" applyFont="1" applyBorder="1" applyAlignment="1">
      <alignment vertical="center" wrapText="1"/>
    </xf>
    <xf numFmtId="4" fontId="6" fillId="0" borderId="1" xfId="0" applyNumberFormat="1" applyFont="1" applyBorder="1" applyAlignment="1">
      <alignment horizontal="center" vertical="center" wrapText="1"/>
    </xf>
    <xf numFmtId="0" fontId="17" fillId="0" borderId="1" xfId="0" applyFont="1" applyBorder="1" applyAlignment="1">
      <alignment horizontal="left" vertical="top" wrapText="1"/>
    </xf>
    <xf numFmtId="49" fontId="31" fillId="0" borderId="1" xfId="0" applyNumberFormat="1" applyFont="1" applyBorder="1" applyAlignment="1">
      <alignment horizontal="left" vertical="top" wrapText="1" indent="1"/>
    </xf>
    <xf numFmtId="49" fontId="6" fillId="0" borderId="3" xfId="0" applyNumberFormat="1" applyFont="1" applyBorder="1" applyAlignment="1">
      <alignment vertical="center"/>
    </xf>
    <xf numFmtId="49" fontId="6" fillId="0" borderId="3" xfId="0" applyNumberFormat="1" applyFont="1" applyBorder="1" applyAlignment="1">
      <alignment horizontal="center" vertical="center"/>
    </xf>
    <xf numFmtId="167" fontId="6" fillId="0" borderId="3" xfId="0" applyNumberFormat="1" applyFont="1" applyBorder="1" applyAlignment="1">
      <alignment vertical="center"/>
    </xf>
    <xf numFmtId="49" fontId="8" fillId="0" borderId="0" xfId="0" applyNumberFormat="1" applyFont="1" applyAlignment="1">
      <alignment horizontal="left" vertical="top" wrapText="1"/>
    </xf>
    <xf numFmtId="4" fontId="6" fillId="0" borderId="0" xfId="0" applyNumberFormat="1" applyFont="1"/>
    <xf numFmtId="0" fontId="6" fillId="0" borderId="0" xfId="0" applyFont="1" applyAlignment="1">
      <alignment horizontal="left" vertical="top" wrapText="1" indent="1"/>
    </xf>
    <xf numFmtId="10" fontId="16" fillId="0" borderId="0" xfId="0" applyNumberFormat="1" applyFont="1" applyAlignment="1">
      <alignment wrapText="1"/>
    </xf>
    <xf numFmtId="167" fontId="6" fillId="0" borderId="0" xfId="0" applyNumberFormat="1" applyFont="1" applyAlignment="1">
      <alignment wrapText="1"/>
    </xf>
    <xf numFmtId="0" fontId="6" fillId="0" borderId="0" xfId="0" applyFont="1" applyAlignment="1">
      <alignment horizontal="left" vertical="top" wrapText="1"/>
    </xf>
    <xf numFmtId="0" fontId="6" fillId="0" borderId="0" xfId="0" applyFont="1" applyAlignment="1">
      <alignment horizontal="center" vertical="top" wrapText="1"/>
    </xf>
    <xf numFmtId="167" fontId="6" fillId="0" borderId="0" xfId="0" applyNumberFormat="1" applyFont="1" applyAlignment="1">
      <alignment vertical="top" wrapText="1"/>
    </xf>
    <xf numFmtId="0" fontId="16" fillId="0" borderId="0" xfId="0" applyFont="1" applyAlignment="1">
      <alignment horizontal="left" vertical="top" wrapText="1"/>
    </xf>
    <xf numFmtId="0" fontId="16" fillId="0" borderId="0" xfId="0" applyFont="1" applyAlignment="1">
      <alignment horizontal="center" wrapText="1"/>
    </xf>
    <xf numFmtId="0" fontId="16" fillId="0" borderId="0" xfId="0" applyFont="1" applyAlignment="1">
      <alignment horizontal="center" vertical="center" wrapText="1"/>
    </xf>
    <xf numFmtId="3" fontId="6" fillId="0" borderId="0" xfId="0" applyNumberFormat="1" applyFont="1" applyAlignment="1">
      <alignment horizontal="center" vertical="center" wrapText="1"/>
    </xf>
    <xf numFmtId="49" fontId="8" fillId="0" borderId="0" xfId="0" applyNumberFormat="1" applyFont="1" applyAlignment="1">
      <alignment vertical="center"/>
    </xf>
    <xf numFmtId="49" fontId="6" fillId="0" borderId="0" xfId="0" applyNumberFormat="1" applyFont="1" applyAlignment="1">
      <alignment vertical="center"/>
    </xf>
    <xf numFmtId="167" fontId="6" fillId="0" borderId="0" xfId="0" applyNumberFormat="1" applyFont="1" applyAlignment="1">
      <alignment vertical="center"/>
    </xf>
    <xf numFmtId="49" fontId="6" fillId="0" borderId="0" xfId="0" quotePrefix="1" applyNumberFormat="1" applyFont="1" applyAlignment="1">
      <alignment horizontal="left" vertical="top" wrapText="1"/>
    </xf>
    <xf numFmtId="167" fontId="6" fillId="0" borderId="0" xfId="0" applyNumberFormat="1" applyFont="1" applyAlignment="1">
      <alignment vertical="top"/>
    </xf>
    <xf numFmtId="183" fontId="8" fillId="0" borderId="1" xfId="0" applyNumberFormat="1" applyFont="1" applyBorder="1" applyAlignment="1">
      <alignment horizontal="left" wrapText="1"/>
    </xf>
    <xf numFmtId="9" fontId="6" fillId="0" borderId="1" xfId="0" applyNumberFormat="1" applyFont="1" applyBorder="1" applyAlignment="1">
      <alignment vertical="center" wrapText="1"/>
    </xf>
    <xf numFmtId="177" fontId="6" fillId="0" borderId="0" xfId="3" applyNumberFormat="1" applyFont="1" applyBorder="1" applyAlignment="1" applyProtection="1">
      <alignment horizontal="center" wrapText="1"/>
    </xf>
    <xf numFmtId="49" fontId="16" fillId="0" borderId="2" xfId="0" applyNumberFormat="1" applyFont="1" applyBorder="1" applyAlignment="1">
      <alignment horizontal="left" vertical="center" wrapText="1"/>
    </xf>
    <xf numFmtId="170" fontId="16" fillId="0" borderId="1" xfId="0" applyNumberFormat="1" applyFont="1" applyBorder="1" applyAlignment="1">
      <alignment horizontal="center" wrapText="1"/>
    </xf>
    <xf numFmtId="0" fontId="8" fillId="0" borderId="2" xfId="0" applyFont="1" applyBorder="1" applyAlignment="1">
      <alignment horizontal="right" vertical="center"/>
    </xf>
    <xf numFmtId="49" fontId="8" fillId="0" borderId="2"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177" fontId="6" fillId="0" borderId="1" xfId="0" applyNumberFormat="1" applyFont="1" applyBorder="1" applyAlignment="1">
      <alignment wrapText="1"/>
    </xf>
    <xf numFmtId="0" fontId="0" fillId="0" borderId="0" xfId="0" applyAlignment="1">
      <alignment vertical="top"/>
    </xf>
    <xf numFmtId="0" fontId="5" fillId="0" borderId="0" xfId="0" applyFont="1" applyAlignment="1">
      <alignment horizontal="center" vertical="top"/>
    </xf>
    <xf numFmtId="49" fontId="6" fillId="0" borderId="2" xfId="0" applyNumberFormat="1" applyFont="1" applyBorder="1" applyAlignment="1">
      <alignment horizontal="left" vertical="top" wrapText="1"/>
    </xf>
    <xf numFmtId="0" fontId="9" fillId="0" borderId="1" xfId="0" applyFont="1" applyBorder="1" applyAlignment="1">
      <alignment horizontal="center" vertical="top" wrapText="1"/>
    </xf>
    <xf numFmtId="177" fontId="6" fillId="0" borderId="1" xfId="0" applyNumberFormat="1" applyFont="1" applyBorder="1" applyAlignment="1">
      <alignment vertical="top" wrapText="1"/>
    </xf>
    <xf numFmtId="177" fontId="6" fillId="0" borderId="1" xfId="11" applyNumberFormat="1" applyFont="1" applyFill="1" applyBorder="1" applyAlignment="1" applyProtection="1">
      <alignment vertical="top"/>
    </xf>
    <xf numFmtId="0" fontId="9" fillId="0" borderId="1" xfId="0" applyFont="1" applyBorder="1" applyAlignment="1">
      <alignment horizontal="center" vertical="center" wrapText="1"/>
    </xf>
    <xf numFmtId="177" fontId="6" fillId="0" borderId="1" xfId="0" applyNumberFormat="1" applyFont="1" applyBorder="1" applyAlignment="1">
      <alignment vertical="center" wrapText="1"/>
    </xf>
    <xf numFmtId="177" fontId="6" fillId="0" borderId="1" xfId="11" applyNumberFormat="1" applyFont="1" applyFill="1" applyBorder="1" applyAlignment="1" applyProtection="1">
      <alignment vertical="center"/>
    </xf>
    <xf numFmtId="0" fontId="0" fillId="0" borderId="0" xfId="0" applyAlignment="1">
      <alignment horizontal="center" vertical="top"/>
    </xf>
    <xf numFmtId="0" fontId="26" fillId="0" borderId="0" xfId="0" applyFont="1" applyAlignment="1">
      <alignment horizontal="center" vertical="top"/>
    </xf>
    <xf numFmtId="172" fontId="0" fillId="0" borderId="0" xfId="1" applyNumberFormat="1" applyFont="1" applyAlignment="1" applyProtection="1">
      <alignment horizontal="center" vertical="top"/>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165" fontId="16" fillId="0" borderId="0" xfId="1" applyFont="1" applyAlignment="1" applyProtection="1">
      <alignment horizontal="center" vertical="center" wrapText="1"/>
    </xf>
    <xf numFmtId="167" fontId="6" fillId="0" borderId="2" xfId="0" applyNumberFormat="1" applyFont="1" applyBorder="1" applyAlignment="1">
      <alignment vertical="center"/>
    </xf>
    <xf numFmtId="182" fontId="6" fillId="0" borderId="0" xfId="0" applyNumberFormat="1" applyFont="1" applyAlignment="1">
      <alignment horizontal="center" vertical="center"/>
    </xf>
    <xf numFmtId="177" fontId="6" fillId="0" borderId="0" xfId="3" applyNumberFormat="1" applyFont="1" applyBorder="1" applyAlignment="1" applyProtection="1">
      <alignment vertical="top" wrapText="1"/>
    </xf>
    <xf numFmtId="177" fontId="6" fillId="0" borderId="0" xfId="1" applyNumberFormat="1" applyFont="1" applyBorder="1" applyAlignment="1" applyProtection="1">
      <alignment vertical="top" wrapText="1"/>
    </xf>
    <xf numFmtId="168" fontId="6" fillId="0" borderId="0" xfId="1" applyNumberFormat="1" applyFont="1" applyBorder="1" applyAlignment="1" applyProtection="1">
      <alignment vertical="top" wrapText="1"/>
    </xf>
    <xf numFmtId="177" fontId="6" fillId="0" borderId="1" xfId="11" applyNumberFormat="1" applyFont="1" applyBorder="1" applyAlignment="1" applyProtection="1">
      <alignment vertical="center"/>
    </xf>
    <xf numFmtId="174" fontId="6" fillId="0" borderId="0" xfId="11" applyNumberFormat="1" applyFont="1" applyFill="1" applyBorder="1" applyProtection="1"/>
    <xf numFmtId="177" fontId="6" fillId="0" borderId="0" xfId="3" applyNumberFormat="1" applyFont="1" applyFill="1" applyBorder="1" applyAlignment="1" applyProtection="1">
      <alignment vertical="top" wrapText="1"/>
    </xf>
    <xf numFmtId="177" fontId="6" fillId="0" borderId="0" xfId="1" applyNumberFormat="1" applyFont="1" applyFill="1" applyBorder="1" applyAlignment="1" applyProtection="1">
      <alignment vertical="top" wrapText="1"/>
    </xf>
    <xf numFmtId="168" fontId="6" fillId="0" borderId="0" xfId="1" applyNumberFormat="1" applyFont="1" applyFill="1" applyBorder="1" applyAlignment="1" applyProtection="1">
      <alignment vertical="top" wrapText="1"/>
    </xf>
    <xf numFmtId="172" fontId="0" fillId="0" borderId="0" xfId="1" applyNumberFormat="1" applyFont="1" applyBorder="1" applyAlignment="1" applyProtection="1">
      <alignment horizontal="center" vertical="top"/>
    </xf>
    <xf numFmtId="9" fontId="6" fillId="0" borderId="0" xfId="0" applyNumberFormat="1" applyFont="1" applyAlignment="1">
      <alignment horizontal="center" wrapText="1"/>
    </xf>
    <xf numFmtId="0" fontId="12" fillId="0" borderId="0" xfId="0" applyFont="1" applyAlignment="1">
      <alignment vertical="top"/>
    </xf>
    <xf numFmtId="174" fontId="6" fillId="0" borderId="0" xfId="11" applyNumberFormat="1" applyFont="1" applyFill="1" applyBorder="1" applyAlignment="1" applyProtection="1">
      <alignment vertical="center"/>
    </xf>
    <xf numFmtId="174" fontId="6" fillId="0" borderId="0" xfId="11" applyNumberFormat="1" applyFont="1" applyBorder="1" applyAlignment="1" applyProtection="1">
      <alignment vertical="center"/>
    </xf>
    <xf numFmtId="0" fontId="12" fillId="0" borderId="0" xfId="0" applyFont="1" applyAlignment="1">
      <alignment horizontal="center" vertical="top"/>
    </xf>
    <xf numFmtId="172" fontId="12" fillId="0" borderId="0" xfId="0" applyNumberFormat="1" applyFont="1" applyAlignment="1">
      <alignment horizontal="center" vertical="center"/>
    </xf>
    <xf numFmtId="0" fontId="12" fillId="0" borderId="0" xfId="0" applyFont="1" applyAlignment="1">
      <alignment horizontal="center" vertical="center"/>
    </xf>
    <xf numFmtId="1" fontId="12" fillId="0" borderId="0" xfId="0" applyNumberFormat="1" applyFont="1" applyAlignment="1">
      <alignment horizontal="center" vertical="center"/>
    </xf>
    <xf numFmtId="165" fontId="12" fillId="0" borderId="0" xfId="1" applyFont="1" applyAlignment="1" applyProtection="1">
      <alignment horizontal="center" vertical="center"/>
    </xf>
    <xf numFmtId="165" fontId="12" fillId="0" borderId="0" xfId="1" applyFont="1" applyAlignment="1" applyProtection="1">
      <alignment vertical="top"/>
    </xf>
    <xf numFmtId="49" fontId="6" fillId="0" borderId="2" xfId="0" applyNumberFormat="1" applyFont="1" applyBorder="1" applyAlignment="1">
      <alignment horizontal="left" vertical="top"/>
    </xf>
    <xf numFmtId="177" fontId="6" fillId="0" borderId="1" xfId="0" applyNumberFormat="1" applyFont="1" applyBorder="1" applyAlignment="1">
      <alignment vertical="center"/>
    </xf>
    <xf numFmtId="0" fontId="0" fillId="0" borderId="0" xfId="0" applyAlignment="1">
      <alignment horizontal="right" vertical="top"/>
    </xf>
    <xf numFmtId="43" fontId="0" fillId="0" borderId="0" xfId="0" applyNumberFormat="1" applyAlignment="1">
      <alignment horizontal="right" vertical="top"/>
    </xf>
    <xf numFmtId="0" fontId="6" fillId="0" borderId="0" xfId="1" applyNumberFormat="1" applyFont="1" applyFill="1" applyBorder="1" applyAlignment="1" applyProtection="1">
      <alignment wrapText="1"/>
    </xf>
    <xf numFmtId="0" fontId="5" fillId="0" borderId="0" xfId="0" applyFont="1" applyAlignment="1">
      <alignment horizontal="right" vertical="top"/>
    </xf>
    <xf numFmtId="0" fontId="5" fillId="0" borderId="0" xfId="0" applyFont="1" applyAlignment="1">
      <alignment vertical="top"/>
    </xf>
    <xf numFmtId="165" fontId="16" fillId="0" borderId="0" xfId="1" applyFont="1" applyBorder="1" applyAlignment="1" applyProtection="1">
      <alignment horizontal="center" vertical="center" wrapText="1"/>
    </xf>
    <xf numFmtId="49" fontId="6" fillId="0" borderId="0" xfId="12" applyNumberFormat="1" applyFont="1" applyAlignment="1">
      <alignment horizontal="left" vertical="top"/>
    </xf>
    <xf numFmtId="0" fontId="6" fillId="0" borderId="0" xfId="12" applyFont="1" applyAlignment="1">
      <alignment horizontal="left" vertical="top"/>
    </xf>
    <xf numFmtId="0" fontId="6" fillId="0" borderId="0" xfId="12" applyFont="1" applyAlignment="1">
      <alignment horizontal="center" vertical="top"/>
    </xf>
    <xf numFmtId="0" fontId="8" fillId="0" borderId="12" xfId="12" applyFont="1" applyBorder="1" applyAlignment="1">
      <alignment horizontal="left" vertical="center"/>
    </xf>
    <xf numFmtId="0" fontId="8" fillId="0" borderId="12" xfId="12" applyFont="1" applyBorder="1" applyAlignment="1">
      <alignment horizontal="center" vertical="center"/>
    </xf>
    <xf numFmtId="0" fontId="8" fillId="0" borderId="2" xfId="12" applyFont="1" applyBorder="1" applyAlignment="1">
      <alignment horizontal="right" vertical="center"/>
    </xf>
    <xf numFmtId="49" fontId="8" fillId="0" borderId="2" xfId="12" applyNumberFormat="1" applyFont="1" applyBorder="1" applyAlignment="1">
      <alignment horizontal="left" vertical="center"/>
    </xf>
    <xf numFmtId="49" fontId="8" fillId="0" borderId="10" xfId="12" applyNumberFormat="1" applyFont="1" applyBorder="1" applyAlignment="1">
      <alignment horizontal="left" vertical="center"/>
    </xf>
    <xf numFmtId="49" fontId="8" fillId="0" borderId="9" xfId="12" applyNumberFormat="1" applyFont="1" applyBorder="1" applyAlignment="1">
      <alignment horizontal="left" vertical="center"/>
    </xf>
    <xf numFmtId="49" fontId="8" fillId="0" borderId="11" xfId="12" applyNumberFormat="1" applyFont="1" applyBorder="1" applyAlignment="1">
      <alignment horizontal="left" vertical="center"/>
    </xf>
    <xf numFmtId="0" fontId="8" fillId="0" borderId="0" xfId="12" applyFont="1" applyAlignment="1">
      <alignment horizontal="center" vertical="top"/>
    </xf>
    <xf numFmtId="49" fontId="8" fillId="0" borderId="8" xfId="12" applyNumberFormat="1" applyFont="1" applyBorder="1" applyAlignment="1">
      <alignment horizontal="center" vertical="center" wrapText="1"/>
    </xf>
    <xf numFmtId="0" fontId="8" fillId="0" borderId="8" xfId="12" applyFont="1" applyBorder="1" applyAlignment="1">
      <alignment horizontal="center" vertical="center" wrapText="1"/>
    </xf>
    <xf numFmtId="177" fontId="6" fillId="0" borderId="1" xfId="12" applyNumberFormat="1" applyFont="1" applyBorder="1" applyAlignment="1">
      <alignment wrapText="1"/>
    </xf>
    <xf numFmtId="167" fontId="6" fillId="0" borderId="0" xfId="12" applyNumberFormat="1" applyFont="1" applyAlignment="1">
      <alignment wrapText="1"/>
    </xf>
    <xf numFmtId="49" fontId="8" fillId="0" borderId="1" xfId="12" applyNumberFormat="1" applyFont="1" applyBorder="1" applyAlignment="1">
      <alignment horizontal="left" vertical="top" wrapText="1"/>
    </xf>
    <xf numFmtId="0" fontId="8" fillId="0" borderId="1" xfId="12" applyFont="1" applyBorder="1" applyAlignment="1">
      <alignment horizontal="left" vertical="top" wrapText="1"/>
    </xf>
    <xf numFmtId="0" fontId="5" fillId="0" borderId="0" xfId="12" applyAlignment="1">
      <alignment vertical="top"/>
    </xf>
    <xf numFmtId="49" fontId="6" fillId="0" borderId="2" xfId="12" applyNumberFormat="1" applyFont="1" applyBorder="1" applyAlignment="1">
      <alignment horizontal="left" vertical="top" wrapText="1"/>
    </xf>
    <xf numFmtId="0" fontId="5" fillId="0" borderId="0" xfId="12" applyAlignment="1">
      <alignment horizontal="center" vertical="top"/>
    </xf>
    <xf numFmtId="0" fontId="6" fillId="0" borderId="1" xfId="12" applyFont="1" applyBorder="1" applyAlignment="1">
      <alignment horizontal="center" vertical="top" wrapText="1"/>
    </xf>
    <xf numFmtId="0" fontId="9" fillId="0" borderId="1" xfId="12" applyFont="1" applyBorder="1" applyAlignment="1">
      <alignment horizontal="center" vertical="top" wrapText="1"/>
    </xf>
    <xf numFmtId="177" fontId="6" fillId="0" borderId="1" xfId="12" applyNumberFormat="1" applyFont="1" applyBorder="1" applyAlignment="1">
      <alignment vertical="top" wrapText="1"/>
    </xf>
    <xf numFmtId="177" fontId="6" fillId="0" borderId="1" xfId="11" applyNumberFormat="1" applyFont="1" applyBorder="1" applyAlignment="1" applyProtection="1">
      <alignment vertical="top"/>
    </xf>
    <xf numFmtId="177" fontId="6" fillId="0" borderId="1" xfId="12" applyNumberFormat="1" applyFont="1" applyBorder="1" applyAlignment="1">
      <alignment vertical="center" wrapText="1"/>
    </xf>
    <xf numFmtId="0" fontId="5" fillId="0" borderId="0" xfId="12" applyAlignment="1">
      <alignment horizontal="center" vertical="center" wrapText="1"/>
    </xf>
    <xf numFmtId="0" fontId="5" fillId="0" borderId="0" xfId="12" applyAlignment="1">
      <alignment horizontal="center" vertical="center"/>
    </xf>
    <xf numFmtId="9" fontId="6" fillId="0" borderId="0" xfId="12" applyNumberFormat="1" applyFont="1" applyAlignment="1">
      <alignment horizontal="center" wrapText="1"/>
    </xf>
    <xf numFmtId="0" fontId="12" fillId="0" borderId="0" xfId="12" applyFont="1" applyAlignment="1">
      <alignment vertical="top"/>
    </xf>
    <xf numFmtId="172" fontId="12" fillId="0" borderId="0" xfId="12" applyNumberFormat="1" applyFont="1" applyAlignment="1">
      <alignment horizontal="center" vertical="center"/>
    </xf>
    <xf numFmtId="0" fontId="12" fillId="0" borderId="0" xfId="12" applyFont="1" applyAlignment="1">
      <alignment horizontal="center" vertical="center"/>
    </xf>
    <xf numFmtId="1" fontId="12" fillId="0" borderId="0" xfId="12" applyNumberFormat="1" applyFont="1" applyAlignment="1">
      <alignment horizontal="center" vertical="center"/>
    </xf>
    <xf numFmtId="0" fontId="6" fillId="0" borderId="0" xfId="12" applyFont="1" applyAlignment="1">
      <alignment horizontal="left" vertical="center" wrapText="1"/>
    </xf>
    <xf numFmtId="49" fontId="6" fillId="0" borderId="2" xfId="12" applyNumberFormat="1" applyFont="1" applyBorder="1" applyAlignment="1">
      <alignment horizontal="left" vertical="top"/>
    </xf>
    <xf numFmtId="0" fontId="6" fillId="0" borderId="1" xfId="12" applyFont="1" applyBorder="1" applyAlignment="1">
      <alignment horizontal="center" vertical="center"/>
    </xf>
    <xf numFmtId="177" fontId="6" fillId="0" borderId="1" xfId="12" applyNumberFormat="1" applyFont="1" applyBorder="1" applyAlignment="1">
      <alignment vertical="center"/>
    </xf>
    <xf numFmtId="0" fontId="5" fillId="0" borderId="0" xfId="12" applyAlignment="1">
      <alignment horizontal="right" vertical="top"/>
    </xf>
    <xf numFmtId="43" fontId="5" fillId="0" borderId="0" xfId="12" applyNumberFormat="1" applyAlignment="1">
      <alignment horizontal="right" vertical="top"/>
    </xf>
    <xf numFmtId="49" fontId="8" fillId="0" borderId="7" xfId="12" applyNumberFormat="1" applyFont="1" applyBorder="1" applyAlignment="1">
      <alignment horizontal="center" vertical="center"/>
    </xf>
    <xf numFmtId="49" fontId="6" fillId="0" borderId="3" xfId="12" applyNumberFormat="1" applyFont="1" applyBorder="1" applyAlignment="1">
      <alignment vertical="center"/>
    </xf>
    <xf numFmtId="49" fontId="6" fillId="0" borderId="3" xfId="12" applyNumberFormat="1" applyFont="1" applyBorder="1" applyAlignment="1">
      <alignment horizontal="center" vertical="center"/>
    </xf>
    <xf numFmtId="167" fontId="6" fillId="0" borderId="3" xfId="12" applyNumberFormat="1" applyFont="1" applyBorder="1" applyAlignment="1">
      <alignment vertical="center"/>
    </xf>
    <xf numFmtId="167" fontId="6" fillId="0" borderId="2" xfId="12" applyNumberFormat="1" applyFont="1" applyBorder="1" applyAlignment="1">
      <alignment vertical="center"/>
    </xf>
    <xf numFmtId="182" fontId="6" fillId="0" borderId="0" xfId="12" applyNumberFormat="1" applyFont="1" applyAlignment="1">
      <alignment horizontal="center" vertical="center"/>
    </xf>
    <xf numFmtId="174" fontId="6" fillId="0" borderId="0" xfId="11" applyNumberFormat="1" applyFont="1" applyFill="1" applyBorder="1" applyAlignment="1" applyProtection="1">
      <alignment vertical="top"/>
    </xf>
    <xf numFmtId="177" fontId="6" fillId="0" borderId="0" xfId="3" applyNumberFormat="1" applyFont="1" applyFill="1" applyBorder="1" applyAlignment="1" applyProtection="1">
      <alignment vertical="center" wrapText="1"/>
    </xf>
    <xf numFmtId="177" fontId="6" fillId="0" borderId="0" xfId="1" applyNumberFormat="1" applyFont="1" applyFill="1" applyBorder="1" applyAlignment="1" applyProtection="1">
      <alignment vertical="center" wrapText="1"/>
    </xf>
    <xf numFmtId="168" fontId="6" fillId="0" borderId="0" xfId="1" applyNumberFormat="1" applyFont="1" applyFill="1" applyBorder="1" applyAlignment="1" applyProtection="1">
      <alignment vertical="center" wrapText="1"/>
    </xf>
    <xf numFmtId="165" fontId="12" fillId="0" borderId="0" xfId="1" applyFont="1" applyFill="1" applyAlignment="1" applyProtection="1">
      <alignment vertical="top"/>
    </xf>
    <xf numFmtId="49" fontId="6" fillId="0" borderId="2" xfId="0" applyNumberFormat="1" applyFont="1" applyBorder="1" applyAlignment="1">
      <alignment horizontal="left" wrapText="1"/>
    </xf>
    <xf numFmtId="165" fontId="12" fillId="0" borderId="0" xfId="1" applyFont="1" applyBorder="1" applyAlignment="1" applyProtection="1">
      <alignment horizontal="center" vertical="center"/>
    </xf>
    <xf numFmtId="177" fontId="6" fillId="0" borderId="0" xfId="0" applyNumberFormat="1" applyFont="1" applyAlignment="1">
      <alignment vertical="top"/>
    </xf>
    <xf numFmtId="49" fontId="6" fillId="0" borderId="1" xfId="0" applyNumberFormat="1" applyFont="1" applyBorder="1" applyAlignment="1">
      <alignment horizontal="left" vertical="top"/>
    </xf>
    <xf numFmtId="165" fontId="12" fillId="0" borderId="0" xfId="1" applyFont="1" applyBorder="1" applyAlignment="1" applyProtection="1">
      <alignment vertical="top"/>
    </xf>
    <xf numFmtId="0" fontId="6" fillId="0" borderId="0" xfId="1" applyNumberFormat="1" applyFont="1" applyBorder="1" applyAlignment="1" applyProtection="1">
      <alignment horizontal="center" wrapText="1"/>
    </xf>
    <xf numFmtId="0" fontId="5" fillId="3" borderId="0" xfId="0" applyFont="1" applyFill="1" applyAlignment="1">
      <alignment horizontal="center"/>
    </xf>
    <xf numFmtId="0" fontId="5" fillId="0" borderId="0" xfId="0" applyFont="1" applyAlignment="1">
      <alignment horizontal="center"/>
    </xf>
    <xf numFmtId="0" fontId="5" fillId="3" borderId="0" xfId="0" applyFont="1" applyFill="1"/>
    <xf numFmtId="172" fontId="6" fillId="0" borderId="1" xfId="1" applyNumberFormat="1" applyFont="1" applyFill="1" applyBorder="1" applyAlignment="1" applyProtection="1">
      <alignment wrapText="1"/>
    </xf>
    <xf numFmtId="177" fontId="6" fillId="2" borderId="0" xfId="3" applyNumberFormat="1" applyFont="1" applyFill="1" applyBorder="1" applyAlignment="1" applyProtection="1">
      <alignment wrapText="1"/>
    </xf>
    <xf numFmtId="177" fontId="6" fillId="2" borderId="0" xfId="1" applyNumberFormat="1" applyFont="1" applyFill="1" applyBorder="1" applyAlignment="1" applyProtection="1">
      <alignment wrapText="1"/>
    </xf>
    <xf numFmtId="168" fontId="6" fillId="2" borderId="0" xfId="1" applyNumberFormat="1" applyFont="1" applyFill="1" applyBorder="1" applyAlignment="1" applyProtection="1">
      <alignment wrapText="1"/>
    </xf>
    <xf numFmtId="0" fontId="6" fillId="2" borderId="0" xfId="1" applyNumberFormat="1" applyFont="1" applyFill="1" applyBorder="1" applyAlignment="1" applyProtection="1">
      <alignment wrapText="1"/>
    </xf>
    <xf numFmtId="0" fontId="23" fillId="0" borderId="0" xfId="0" applyFont="1"/>
    <xf numFmtId="0" fontId="5" fillId="2" borderId="0" xfId="0" applyFont="1" applyFill="1"/>
    <xf numFmtId="165" fontId="0" fillId="2" borderId="0" xfId="1" applyFont="1" applyFill="1" applyAlignment="1" applyProtection="1">
      <alignment vertical="top"/>
    </xf>
    <xf numFmtId="0" fontId="0" fillId="2" borderId="0" xfId="0" applyFill="1" applyAlignment="1">
      <alignment vertical="top"/>
    </xf>
    <xf numFmtId="0" fontId="12" fillId="2" borderId="0" xfId="0" applyFont="1" applyFill="1" applyAlignment="1">
      <alignment vertical="top"/>
    </xf>
    <xf numFmtId="0" fontId="6" fillId="2" borderId="0" xfId="0" applyFont="1" applyFill="1" applyAlignment="1">
      <alignment vertical="top"/>
    </xf>
    <xf numFmtId="172" fontId="6" fillId="0" borderId="1" xfId="1" applyNumberFormat="1" applyFont="1" applyFill="1" applyBorder="1" applyAlignment="1" applyProtection="1">
      <alignment horizontal="center" vertical="center" wrapText="1"/>
    </xf>
    <xf numFmtId="172" fontId="6" fillId="0" borderId="1" xfId="1" applyNumberFormat="1" applyFont="1" applyFill="1" applyBorder="1" applyAlignment="1" applyProtection="1">
      <alignment vertical="center" wrapText="1"/>
    </xf>
    <xf numFmtId="0" fontId="6" fillId="0" borderId="1" xfId="0" applyFont="1" applyBorder="1" applyAlignment="1">
      <alignment vertical="center" wrapText="1"/>
    </xf>
    <xf numFmtId="174" fontId="8" fillId="0" borderId="4" xfId="0" applyNumberFormat="1" applyFont="1" applyBorder="1" applyAlignment="1">
      <alignment vertical="center"/>
    </xf>
    <xf numFmtId="2" fontId="6" fillId="0" borderId="1" xfId="0" applyNumberFormat="1" applyFont="1" applyBorder="1" applyAlignment="1">
      <alignment horizontal="right" vertical="center" wrapText="1"/>
    </xf>
    <xf numFmtId="167" fontId="8" fillId="0" borderId="4" xfId="0" applyNumberFormat="1" applyFont="1" applyBorder="1" applyAlignment="1">
      <alignment vertical="center"/>
    </xf>
    <xf numFmtId="44" fontId="6" fillId="0" borderId="1" xfId="7" applyNumberFormat="1" applyFont="1" applyBorder="1" applyAlignment="1" applyProtection="1">
      <alignment horizontal="center" vertical="center" wrapText="1"/>
    </xf>
    <xf numFmtId="173" fontId="8" fillId="0" borderId="1" xfId="0" applyNumberFormat="1" applyFont="1" applyBorder="1" applyAlignment="1">
      <alignment horizontal="left" vertical="center" wrapText="1"/>
    </xf>
    <xf numFmtId="173" fontId="6" fillId="0" borderId="1" xfId="0" applyNumberFormat="1" applyFont="1" applyBorder="1" applyAlignment="1">
      <alignment horizontal="left"/>
    </xf>
    <xf numFmtId="173" fontId="6" fillId="0" borderId="1" xfId="0" applyNumberFormat="1" applyFont="1" applyBorder="1" applyAlignment="1">
      <alignment horizontal="left" vertical="center"/>
    </xf>
    <xf numFmtId="174" fontId="6" fillId="0" borderId="1" xfId="7" applyNumberFormat="1" applyFont="1" applyBorder="1" applyAlignment="1" applyProtection="1">
      <alignment vertical="center" wrapText="1"/>
    </xf>
    <xf numFmtId="167" fontId="6" fillId="0" borderId="1" xfId="3" applyNumberFormat="1" applyFont="1" applyBorder="1" applyAlignment="1" applyProtection="1">
      <alignment horizontal="right" vertical="center" wrapText="1"/>
    </xf>
    <xf numFmtId="0" fontId="0" fillId="0" borderId="0" xfId="0" applyAlignment="1">
      <alignment horizontal="center" vertical="center" wrapText="1"/>
    </xf>
    <xf numFmtId="0" fontId="0" fillId="0" borderId="0" xfId="0" applyAlignment="1">
      <alignment horizontal="left" vertical="center" wrapText="1"/>
    </xf>
    <xf numFmtId="166" fontId="0" fillId="0" borderId="0" xfId="3" applyNumberFormat="1" applyFont="1" applyAlignment="1" applyProtection="1">
      <alignment vertical="center" wrapText="1"/>
    </xf>
    <xf numFmtId="0" fontId="0" fillId="0" borderId="0" xfId="0" applyAlignment="1">
      <alignment vertical="center" wrapText="1"/>
    </xf>
    <xf numFmtId="0" fontId="0" fillId="0" borderId="0" xfId="0" applyAlignment="1">
      <alignment horizontal="left" vertical="center" wrapText="1" indent="1"/>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right" vertical="center"/>
    </xf>
    <xf numFmtId="0" fontId="5" fillId="0" borderId="0" xfId="0" applyFont="1" applyAlignment="1">
      <alignment horizontal="left" vertical="center" indent="1"/>
    </xf>
    <xf numFmtId="0" fontId="7" fillId="0" borderId="0" xfId="0" applyFont="1" applyAlignment="1">
      <alignment horizontal="left" vertical="top"/>
    </xf>
    <xf numFmtId="0" fontId="5" fillId="0" borderId="0" xfId="0" applyFont="1" applyAlignment="1">
      <alignment horizontal="right" vertical="center"/>
    </xf>
    <xf numFmtId="49" fontId="7" fillId="0" borderId="0" xfId="0" applyNumberFormat="1" applyFont="1" applyAlignment="1">
      <alignment horizontal="left" vertical="top"/>
    </xf>
    <xf numFmtId="0" fontId="7" fillId="0" borderId="0" xfId="0" applyFont="1" applyAlignment="1">
      <alignment horizontal="center" vertical="center" wrapText="1"/>
    </xf>
    <xf numFmtId="49" fontId="7" fillId="0" borderId="0" xfId="0" applyNumberFormat="1" applyFont="1" applyAlignment="1">
      <alignment horizontal="left" vertical="center" wrapText="1"/>
    </xf>
    <xf numFmtId="0" fontId="7" fillId="0" borderId="0" xfId="0" applyFont="1" applyAlignment="1">
      <alignment horizontal="left" vertical="center" wrapText="1"/>
    </xf>
    <xf numFmtId="49" fontId="7" fillId="0" borderId="0" xfId="0" applyNumberFormat="1" applyFont="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180" fontId="8" fillId="0" borderId="32" xfId="0" applyNumberFormat="1" applyFont="1" applyBorder="1" applyAlignment="1">
      <alignment horizontal="center" vertical="center" wrapText="1"/>
    </xf>
    <xf numFmtId="166" fontId="8" fillId="0" borderId="22" xfId="3" applyNumberFormat="1" applyFont="1" applyBorder="1" applyAlignment="1" applyProtection="1">
      <alignment horizontal="center" vertical="center" wrapText="1"/>
    </xf>
    <xf numFmtId="0" fontId="7" fillId="0" borderId="0" xfId="0" applyFont="1" applyAlignment="1">
      <alignment horizontal="left" vertical="center" wrapText="1" indent="1"/>
    </xf>
    <xf numFmtId="0" fontId="6" fillId="0" borderId="19" xfId="0" applyFont="1" applyBorder="1" applyAlignment="1">
      <alignment horizontal="center" vertical="center" wrapText="1"/>
    </xf>
    <xf numFmtId="0" fontId="6" fillId="0" borderId="8" xfId="0" applyFont="1" applyBorder="1" applyAlignment="1">
      <alignment horizontal="left" vertical="center" wrapText="1"/>
    </xf>
    <xf numFmtId="180" fontId="6" fillId="0" borderId="7" xfId="0" applyNumberFormat="1" applyFont="1" applyBorder="1" applyAlignment="1">
      <alignment horizontal="center" vertical="center" wrapText="1"/>
    </xf>
    <xf numFmtId="188" fontId="6" fillId="0" borderId="28" xfId="3" applyNumberFormat="1" applyFont="1" applyBorder="1" applyAlignment="1" applyProtection="1">
      <alignment horizontal="right" vertical="center" wrapText="1"/>
    </xf>
    <xf numFmtId="10" fontId="0" fillId="0" borderId="0" xfId="0" applyNumberFormat="1" applyAlignment="1">
      <alignment horizontal="left" vertical="center" wrapText="1" indent="1"/>
    </xf>
    <xf numFmtId="0" fontId="6" fillId="0" borderId="18" xfId="0" applyFont="1" applyBorder="1" applyAlignment="1">
      <alignment horizontal="center" vertical="center" wrapText="1"/>
    </xf>
    <xf numFmtId="0" fontId="6" fillId="0" borderId="4" xfId="0" applyFont="1" applyBorder="1" applyAlignment="1">
      <alignment horizontal="left" vertical="center" wrapText="1"/>
    </xf>
    <xf numFmtId="188" fontId="6" fillId="0" borderId="27" xfId="3" applyNumberFormat="1" applyFont="1" applyBorder="1" applyAlignment="1" applyProtection="1">
      <alignment horizontal="right" vertical="center" wrapText="1"/>
    </xf>
    <xf numFmtId="0" fontId="23" fillId="0" borderId="0" xfId="0" applyFont="1" applyAlignment="1">
      <alignment vertical="center" wrapText="1"/>
    </xf>
    <xf numFmtId="0" fontId="25" fillId="0" borderId="0" xfId="0" applyFont="1" applyAlignment="1">
      <alignment horizontal="center" vertical="center" wrapText="1"/>
    </xf>
    <xf numFmtId="10" fontId="23" fillId="0" borderId="0" xfId="0" applyNumberFormat="1" applyFont="1" applyAlignment="1">
      <alignment horizontal="left" vertical="center" wrapText="1" indent="1"/>
    </xf>
    <xf numFmtId="49" fontId="6" fillId="0" borderId="18" xfId="0" applyNumberFormat="1" applyFont="1" applyBorder="1" applyAlignment="1">
      <alignment horizontal="center" vertical="center" wrapText="1"/>
    </xf>
    <xf numFmtId="188" fontId="7" fillId="2" borderId="0" xfId="0" applyNumberFormat="1" applyFont="1" applyFill="1" applyAlignment="1">
      <alignment horizontal="left" vertical="center" wrapText="1" indent="1"/>
    </xf>
    <xf numFmtId="0" fontId="5" fillId="0" borderId="0" xfId="0" applyFont="1" applyAlignment="1">
      <alignment vertical="center" wrapText="1"/>
    </xf>
    <xf numFmtId="188" fontId="0" fillId="0" borderId="0" xfId="0" applyNumberFormat="1" applyAlignment="1">
      <alignment vertical="center" wrapText="1"/>
    </xf>
    <xf numFmtId="9" fontId="0" fillId="0" borderId="0" xfId="0" applyNumberFormat="1" applyAlignment="1">
      <alignment vertical="center" wrapText="1"/>
    </xf>
    <xf numFmtId="0" fontId="8" fillId="0" borderId="25" xfId="0" applyFont="1" applyBorder="1" applyAlignment="1">
      <alignment horizontal="left" vertical="center" indent="1"/>
    </xf>
    <xf numFmtId="0" fontId="8" fillId="0" borderId="33" xfId="0" applyFont="1" applyBorder="1" applyAlignment="1">
      <alignment vertical="center"/>
    </xf>
    <xf numFmtId="0" fontId="8" fillId="0" borderId="26" xfId="0" applyFont="1" applyBorder="1" applyAlignment="1">
      <alignment vertical="center"/>
    </xf>
    <xf numFmtId="165" fontId="0" fillId="0" borderId="0" xfId="0" applyNumberFormat="1" applyAlignment="1">
      <alignment horizontal="left" vertical="center" wrapText="1" indent="1"/>
    </xf>
    <xf numFmtId="165" fontId="12" fillId="0" borderId="0" xfId="1" applyFont="1" applyAlignment="1" applyProtection="1">
      <alignment vertical="center" wrapText="1"/>
    </xf>
    <xf numFmtId="49" fontId="8" fillId="0" borderId="9" xfId="12" applyNumberFormat="1" applyFont="1" applyBorder="1" applyAlignment="1">
      <alignment horizontal="left" vertical="top" wrapText="1"/>
    </xf>
    <xf numFmtId="49" fontId="8" fillId="0" borderId="11" xfId="12" applyNumberFormat="1" applyFont="1" applyBorder="1" applyAlignment="1">
      <alignment horizontal="left" vertical="top" wrapText="1"/>
    </xf>
    <xf numFmtId="43" fontId="8" fillId="0" borderId="8" xfId="12" applyNumberFormat="1" applyFont="1" applyBorder="1" applyAlignment="1">
      <alignment horizontal="center" vertical="center" wrapText="1"/>
    </xf>
    <xf numFmtId="49" fontId="6" fillId="0" borderId="1" xfId="12" applyNumberFormat="1" applyFont="1" applyBorder="1" applyAlignment="1">
      <alignment horizontal="center" vertical="top" wrapText="1"/>
    </xf>
    <xf numFmtId="43" fontId="6" fillId="0" borderId="1" xfId="12" applyNumberFormat="1" applyFont="1" applyBorder="1" applyAlignment="1">
      <alignment horizontal="right"/>
    </xf>
    <xf numFmtId="43" fontId="6" fillId="0" borderId="1" xfId="12" applyNumberFormat="1" applyFont="1" applyBorder="1" applyAlignment="1">
      <alignment horizontal="right" wrapText="1"/>
    </xf>
    <xf numFmtId="49" fontId="8" fillId="0" borderId="1" xfId="12" applyNumberFormat="1" applyFont="1" applyBorder="1" applyAlignment="1">
      <alignment horizontal="center" vertical="top" wrapText="1"/>
    </xf>
    <xf numFmtId="0" fontId="6" fillId="0" borderId="2" xfId="12" applyFont="1" applyBorder="1" applyAlignment="1">
      <alignment horizontal="left" vertical="top" wrapText="1"/>
    </xf>
    <xf numFmtId="165" fontId="6" fillId="0" borderId="1" xfId="1" applyFont="1" applyBorder="1" applyAlignment="1" applyProtection="1">
      <alignment wrapText="1"/>
    </xf>
    <xf numFmtId="167" fontId="6" fillId="0" borderId="1" xfId="1" applyNumberFormat="1" applyFont="1" applyBorder="1" applyAlignment="1" applyProtection="1">
      <alignment horizontal="right" wrapText="1"/>
    </xf>
    <xf numFmtId="188" fontId="6" fillId="0" borderId="1" xfId="3" applyNumberFormat="1" applyFont="1" applyBorder="1" applyAlignment="1" applyProtection="1">
      <alignment horizontal="right" wrapText="1"/>
    </xf>
    <xf numFmtId="188" fontId="6" fillId="0" borderId="1" xfId="1" applyNumberFormat="1" applyFont="1" applyBorder="1" applyAlignment="1" applyProtection="1">
      <alignment wrapText="1"/>
    </xf>
    <xf numFmtId="188" fontId="6" fillId="0" borderId="1" xfId="12" applyNumberFormat="1" applyFont="1" applyBorder="1" applyAlignment="1">
      <alignment horizontal="right"/>
    </xf>
    <xf numFmtId="188" fontId="6" fillId="0" borderId="1" xfId="12" applyNumberFormat="1" applyFont="1" applyBorder="1" applyAlignment="1">
      <alignment horizontal="right" wrapText="1"/>
    </xf>
    <xf numFmtId="188" fontId="6" fillId="0" borderId="1" xfId="12" applyNumberFormat="1" applyFont="1" applyBorder="1" applyAlignment="1">
      <alignment wrapText="1"/>
    </xf>
    <xf numFmtId="188" fontId="6" fillId="0" borderId="3" xfId="12" applyNumberFormat="1" applyFont="1" applyBorder="1" applyAlignment="1">
      <alignment vertical="center"/>
    </xf>
    <xf numFmtId="188" fontId="8" fillId="0" borderId="4" xfId="12" applyNumberFormat="1" applyFont="1" applyBorder="1" applyAlignment="1">
      <alignment vertical="center"/>
    </xf>
    <xf numFmtId="43" fontId="6" fillId="0" borderId="0" xfId="12" applyNumberFormat="1" applyFont="1" applyAlignment="1">
      <alignment horizontal="right" vertical="top"/>
    </xf>
    <xf numFmtId="0" fontId="7" fillId="0" borderId="0" xfId="12" applyFont="1" applyAlignment="1">
      <alignment horizontal="left" vertical="center"/>
    </xf>
    <xf numFmtId="0" fontId="5" fillId="0" borderId="0" xfId="12" applyAlignment="1">
      <alignment horizontal="left" vertical="center"/>
    </xf>
    <xf numFmtId="0" fontId="5" fillId="0" borderId="0" xfId="12" applyAlignment="1">
      <alignment horizontal="left" vertical="center" indent="1"/>
    </xf>
    <xf numFmtId="0" fontId="5" fillId="0" borderId="0" xfId="12" applyAlignment="1">
      <alignment vertical="center"/>
    </xf>
    <xf numFmtId="0" fontId="7" fillId="0" borderId="0" xfId="12" applyFont="1" applyAlignment="1">
      <alignment horizontal="left" vertical="top"/>
    </xf>
    <xf numFmtId="0" fontId="5" fillId="0" borderId="0" xfId="12" applyAlignment="1">
      <alignment horizontal="right" vertical="center"/>
    </xf>
    <xf numFmtId="49" fontId="7" fillId="0" borderId="0" xfId="12" applyNumberFormat="1" applyFont="1" applyAlignment="1">
      <alignment horizontal="left" vertical="top"/>
    </xf>
    <xf numFmtId="0" fontId="7" fillId="0" borderId="0" xfId="12" applyFont="1" applyAlignment="1">
      <alignment horizontal="center" vertical="center" wrapText="1"/>
    </xf>
    <xf numFmtId="0" fontId="5" fillId="0" borderId="0" xfId="12" applyAlignment="1">
      <alignment vertical="center" wrapText="1"/>
    </xf>
    <xf numFmtId="0" fontId="5" fillId="0" borderId="0" xfId="12" applyAlignment="1">
      <alignment horizontal="left" vertical="center" wrapText="1" indent="1"/>
    </xf>
    <xf numFmtId="49" fontId="7" fillId="0" borderId="0" xfId="12" applyNumberFormat="1" applyFont="1" applyAlignment="1">
      <alignment horizontal="left" vertical="center" wrapText="1"/>
    </xf>
    <xf numFmtId="0" fontId="7" fillId="0" borderId="0" xfId="12" applyFont="1" applyAlignment="1">
      <alignment horizontal="left" vertical="center" wrapText="1"/>
    </xf>
    <xf numFmtId="49" fontId="7" fillId="0" borderId="0" xfId="12" applyNumberFormat="1" applyFont="1" applyAlignment="1">
      <alignment horizontal="center" vertical="center"/>
    </xf>
    <xf numFmtId="0" fontId="8" fillId="0" borderId="20" xfId="12" applyFont="1" applyBorder="1" applyAlignment="1">
      <alignment horizontal="center" vertical="center" wrapText="1"/>
    </xf>
    <xf numFmtId="0" fontId="8" fillId="0" borderId="21" xfId="12" applyFont="1" applyBorder="1" applyAlignment="1">
      <alignment horizontal="center" vertical="center" wrapText="1"/>
    </xf>
    <xf numFmtId="180" fontId="8" fillId="0" borderId="32" xfId="12" applyNumberFormat="1" applyFont="1" applyBorder="1" applyAlignment="1">
      <alignment horizontal="center" vertical="center" wrapText="1"/>
    </xf>
    <xf numFmtId="0" fontId="7" fillId="0" borderId="0" xfId="12" applyFont="1" applyAlignment="1">
      <alignment horizontal="left" vertical="center" wrapText="1" indent="1"/>
    </xf>
    <xf numFmtId="49" fontId="6" fillId="0" borderId="19" xfId="12" applyNumberFormat="1" applyFont="1" applyBorder="1" applyAlignment="1">
      <alignment horizontal="center" vertical="center" wrapText="1"/>
    </xf>
    <xf numFmtId="0" fontId="6" fillId="0" borderId="8" xfId="12" applyFont="1" applyBorder="1" applyAlignment="1">
      <alignment horizontal="left" vertical="center" wrapText="1"/>
    </xf>
    <xf numFmtId="180" fontId="6" fillId="0" borderId="10" xfId="12" applyNumberFormat="1" applyFont="1" applyBorder="1" applyAlignment="1">
      <alignment horizontal="center" vertical="center" wrapText="1"/>
    </xf>
    <xf numFmtId="44" fontId="6" fillId="0" borderId="28" xfId="3" applyNumberFormat="1" applyFont="1" applyBorder="1" applyAlignment="1" applyProtection="1">
      <alignment horizontal="right" vertical="center" wrapText="1"/>
    </xf>
    <xf numFmtId="10" fontId="5" fillId="0" borderId="0" xfId="12" applyNumberFormat="1" applyAlignment="1">
      <alignment horizontal="left" vertical="center" wrapText="1" indent="1"/>
    </xf>
    <xf numFmtId="0" fontId="6" fillId="0" borderId="24" xfId="12" applyFont="1" applyBorder="1" applyAlignment="1">
      <alignment horizontal="center" vertical="center" wrapText="1"/>
    </xf>
    <xf numFmtId="0" fontId="6" fillId="0" borderId="16" xfId="12" applyFont="1" applyBorder="1" applyAlignment="1">
      <alignment horizontal="left" vertical="center" wrapText="1"/>
    </xf>
    <xf numFmtId="0" fontId="6" fillId="0" borderId="3" xfId="12" applyFont="1" applyBorder="1" applyAlignment="1">
      <alignment horizontal="left" vertical="center" wrapText="1"/>
    </xf>
    <xf numFmtId="39" fontId="6" fillId="0" borderId="27" xfId="3" applyNumberFormat="1" applyFont="1" applyBorder="1" applyAlignment="1" applyProtection="1">
      <alignment horizontal="right" vertical="center" wrapText="1"/>
    </xf>
    <xf numFmtId="0" fontId="8" fillId="0" borderId="25" xfId="12" applyFont="1" applyBorder="1" applyAlignment="1">
      <alignment horizontal="left" vertical="center" indent="1"/>
    </xf>
    <xf numFmtId="0" fontId="8" fillId="0" borderId="33" xfId="12" applyFont="1" applyBorder="1" applyAlignment="1">
      <alignment vertical="center"/>
    </xf>
    <xf numFmtId="0" fontId="8" fillId="0" borderId="26" xfId="12" applyFont="1" applyBorder="1" applyAlignment="1">
      <alignment vertical="center"/>
    </xf>
    <xf numFmtId="0" fontId="5" fillId="0" borderId="0" xfId="12" applyAlignment="1">
      <alignment horizontal="left" vertical="center" wrapText="1"/>
    </xf>
    <xf numFmtId="188" fontId="8" fillId="0" borderId="22" xfId="3" applyNumberFormat="1" applyFont="1" applyBorder="1" applyAlignment="1" applyProtection="1">
      <alignment horizontal="left" vertical="center" wrapText="1"/>
    </xf>
    <xf numFmtId="188" fontId="6" fillId="0" borderId="1" xfId="3" applyNumberFormat="1" applyFont="1" applyBorder="1" applyAlignment="1" applyProtection="1">
      <alignment horizontal="right" vertical="center" wrapText="1"/>
    </xf>
    <xf numFmtId="188" fontId="6" fillId="0" borderId="1" xfId="1" applyNumberFormat="1" applyFont="1" applyBorder="1" applyAlignment="1" applyProtection="1">
      <alignment vertical="center" wrapText="1"/>
    </xf>
    <xf numFmtId="0" fontId="6" fillId="0" borderId="19" xfId="12" applyFont="1" applyBorder="1" applyAlignment="1">
      <alignment horizontal="center" vertical="center" wrapText="1"/>
    </xf>
    <xf numFmtId="0" fontId="8" fillId="0" borderId="25" xfId="12" applyFont="1" applyBorder="1" applyAlignment="1">
      <alignment horizontal="center" vertical="center" wrapText="1"/>
    </xf>
    <xf numFmtId="0" fontId="8" fillId="0" borderId="26" xfId="12" applyFont="1" applyBorder="1" applyAlignment="1">
      <alignment horizontal="center" vertical="center" wrapText="1"/>
    </xf>
    <xf numFmtId="0" fontId="6" fillId="0" borderId="24" xfId="12" applyFont="1" applyBorder="1" applyAlignment="1">
      <alignment horizontal="left" vertical="center" indent="1"/>
    </xf>
    <xf numFmtId="0" fontId="6" fillId="0" borderId="16" xfId="12" applyFont="1" applyBorder="1" applyAlignment="1">
      <alignment horizontal="left" vertical="center"/>
    </xf>
    <xf numFmtId="44" fontId="6" fillId="0" borderId="27" xfId="3" applyNumberFormat="1" applyFont="1" applyBorder="1" applyAlignment="1" applyProtection="1">
      <alignment horizontal="right" vertical="center" wrapText="1"/>
    </xf>
    <xf numFmtId="44" fontId="6" fillId="0" borderId="27" xfId="3" applyNumberFormat="1" applyFont="1" applyFill="1" applyBorder="1" applyAlignment="1" applyProtection="1">
      <alignment horizontal="right" vertical="center" wrapText="1"/>
    </xf>
    <xf numFmtId="44" fontId="8" fillId="0" borderId="22" xfId="3" applyNumberFormat="1" applyFont="1" applyBorder="1" applyAlignment="1" applyProtection="1">
      <alignment horizontal="left" vertical="center" wrapText="1"/>
    </xf>
    <xf numFmtId="174" fontId="6" fillId="0" borderId="0" xfId="3" applyNumberFormat="1" applyFont="1" applyBorder="1" applyAlignment="1" applyProtection="1">
      <alignment horizontal="right" vertical="center" wrapText="1"/>
    </xf>
    <xf numFmtId="174" fontId="5" fillId="0" borderId="0" xfId="12" applyNumberFormat="1" applyAlignment="1">
      <alignment horizontal="left" vertical="center" wrapText="1" indent="1"/>
    </xf>
    <xf numFmtId="174" fontId="5" fillId="0" borderId="0" xfId="12" applyNumberFormat="1" applyAlignment="1">
      <alignment vertical="center" wrapText="1"/>
    </xf>
    <xf numFmtId="44" fontId="6" fillId="0" borderId="47" xfId="1" applyNumberFormat="1" applyFont="1" applyBorder="1" applyAlignment="1" applyProtection="1">
      <alignment horizontal="left" vertical="center" wrapText="1"/>
    </xf>
    <xf numFmtId="10" fontId="5" fillId="0" borderId="0" xfId="12" applyNumberFormat="1" applyAlignment="1">
      <alignment vertical="center" wrapText="1"/>
    </xf>
    <xf numFmtId="44" fontId="5" fillId="0" borderId="0" xfId="12" applyNumberFormat="1" applyAlignment="1">
      <alignment horizontal="left" vertical="center" wrapText="1" indent="1"/>
    </xf>
    <xf numFmtId="44" fontId="5" fillId="0" borderId="0" xfId="12" applyNumberFormat="1" applyAlignment="1">
      <alignment vertical="center" wrapText="1"/>
    </xf>
    <xf numFmtId="0" fontId="6" fillId="0" borderId="48" xfId="12" applyFont="1" applyBorder="1" applyAlignment="1">
      <alignment horizontal="left" vertical="center" indent="1"/>
    </xf>
    <xf numFmtId="0" fontId="6" fillId="0" borderId="13" xfId="12" applyFont="1" applyBorder="1" applyAlignment="1">
      <alignment vertical="center"/>
    </xf>
    <xf numFmtId="0" fontId="5" fillId="0" borderId="0" xfId="12" applyAlignment="1">
      <alignment horizontal="right" vertical="center" wrapText="1"/>
    </xf>
    <xf numFmtId="168" fontId="0" fillId="0" borderId="0" xfId="7" applyNumberFormat="1" applyFont="1" applyBorder="1" applyAlignment="1" applyProtection="1">
      <alignment horizontal="left" vertical="center" wrapText="1" indent="1"/>
    </xf>
    <xf numFmtId="165" fontId="5" fillId="0" borderId="0" xfId="12" applyNumberFormat="1" applyAlignment="1">
      <alignment vertical="center" wrapText="1"/>
    </xf>
    <xf numFmtId="0" fontId="6" fillId="0" borderId="49" xfId="12" applyFont="1" applyBorder="1" applyAlignment="1">
      <alignment horizontal="left" vertical="center" indent="1"/>
    </xf>
    <xf numFmtId="0" fontId="6" fillId="0" borderId="5" xfId="12" applyFont="1" applyBorder="1" applyAlignment="1">
      <alignment vertical="center"/>
    </xf>
    <xf numFmtId="0" fontId="8" fillId="0" borderId="0" xfId="12" applyFont="1" applyAlignment="1">
      <alignment horizontal="left" vertical="center" indent="1"/>
    </xf>
    <xf numFmtId="44" fontId="8" fillId="0" borderId="0" xfId="1" applyNumberFormat="1" applyFont="1" applyBorder="1" applyAlignment="1" applyProtection="1">
      <alignment horizontal="left" vertical="center" wrapText="1"/>
    </xf>
    <xf numFmtId="184" fontId="5" fillId="0" borderId="0" xfId="12" applyNumberFormat="1" applyAlignment="1">
      <alignment horizontal="left" vertical="center" wrapText="1" indent="1"/>
    </xf>
    <xf numFmtId="184" fontId="5" fillId="0" borderId="0" xfId="12" applyNumberFormat="1" applyAlignment="1">
      <alignment vertical="center" wrapText="1"/>
    </xf>
    <xf numFmtId="186" fontId="5" fillId="0" borderId="0" xfId="12" applyNumberFormat="1" applyAlignment="1">
      <alignment vertical="center" wrapText="1"/>
    </xf>
    <xf numFmtId="182" fontId="5" fillId="0" borderId="0" xfId="12" applyNumberFormat="1" applyAlignment="1">
      <alignment horizontal="left" vertical="center" wrapText="1" indent="1"/>
    </xf>
    <xf numFmtId="9" fontId="5" fillId="0" borderId="0" xfId="12" applyNumberFormat="1" applyAlignment="1">
      <alignment vertical="center" wrapText="1"/>
    </xf>
    <xf numFmtId="187" fontId="5" fillId="0" borderId="0" xfId="12" applyNumberFormat="1" applyAlignment="1">
      <alignment vertical="center" wrapText="1"/>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8" fillId="0" borderId="0" xfId="0" applyFont="1" applyAlignment="1">
      <alignment horizontal="right"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5"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wrapText="1"/>
    </xf>
    <xf numFmtId="49" fontId="8" fillId="0" borderId="2"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5" xfId="0" applyNumberFormat="1" applyFont="1" applyBorder="1" applyAlignment="1">
      <alignment horizontal="left" vertical="center" wrapText="1"/>
    </xf>
    <xf numFmtId="0" fontId="6" fillId="0" borderId="1" xfId="0" applyFont="1" applyBorder="1" applyAlignment="1">
      <alignment horizontal="left" vertical="center" wrapText="1"/>
    </xf>
    <xf numFmtId="0" fontId="8" fillId="0" borderId="0" xfId="12" applyFont="1" applyAlignment="1">
      <alignment horizontal="right" vertical="center"/>
    </xf>
    <xf numFmtId="0" fontId="8" fillId="0" borderId="12" xfId="12" applyFont="1" applyBorder="1" applyAlignment="1">
      <alignment horizontal="right" vertical="center"/>
    </xf>
    <xf numFmtId="0" fontId="8" fillId="0" borderId="13" xfId="12" applyFont="1" applyBorder="1" applyAlignment="1">
      <alignment horizontal="right" vertical="center"/>
    </xf>
    <xf numFmtId="49" fontId="8" fillId="0" borderId="2" xfId="12" applyNumberFormat="1" applyFont="1" applyBorder="1" applyAlignment="1">
      <alignment horizontal="left" vertical="center" wrapText="1"/>
    </xf>
    <xf numFmtId="49" fontId="8" fillId="0" borderId="0" xfId="12" applyNumberFormat="1" applyFont="1" applyAlignment="1">
      <alignment horizontal="left" vertical="center" wrapText="1"/>
    </xf>
    <xf numFmtId="49" fontId="8" fillId="0" borderId="5" xfId="12" applyNumberFormat="1" applyFont="1" applyBorder="1" applyAlignment="1">
      <alignment horizontal="left"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49" fontId="7" fillId="0" borderId="23" xfId="0" applyNumberFormat="1" applyFont="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left" vertical="center" wrapText="1"/>
    </xf>
    <xf numFmtId="0" fontId="8" fillId="0" borderId="0" xfId="12" applyFont="1" applyAlignment="1">
      <alignment horizontal="center" vertical="center"/>
    </xf>
    <xf numFmtId="49" fontId="7" fillId="0" borderId="0" xfId="12" applyNumberFormat="1" applyFont="1" applyAlignment="1">
      <alignment horizontal="center" vertical="center" wrapText="1"/>
    </xf>
    <xf numFmtId="0" fontId="7" fillId="0" borderId="0" xfId="12" applyFont="1" applyAlignment="1">
      <alignment horizontal="center" vertical="center" wrapText="1"/>
    </xf>
    <xf numFmtId="49" fontId="7" fillId="0" borderId="0" xfId="12" applyNumberFormat="1" applyFont="1" applyAlignment="1">
      <alignment horizontal="center" vertical="center"/>
    </xf>
    <xf numFmtId="49" fontId="7" fillId="0" borderId="23" xfId="12" applyNumberFormat="1" applyFont="1" applyBorder="1" applyAlignment="1">
      <alignment horizontal="left" vertical="center" wrapText="1"/>
    </xf>
    <xf numFmtId="0" fontId="8" fillId="0" borderId="10" xfId="12" applyFont="1" applyBorder="1" applyAlignment="1">
      <alignment horizontal="left" vertical="top" wrapText="1"/>
    </xf>
    <xf numFmtId="0" fontId="8" fillId="0" borderId="9" xfId="12" applyFont="1" applyBorder="1" applyAlignment="1">
      <alignment horizontal="left" vertical="top" wrapText="1"/>
    </xf>
    <xf numFmtId="0" fontId="8" fillId="0" borderId="11" xfId="12" applyFont="1" applyBorder="1" applyAlignment="1">
      <alignment horizontal="left" vertical="top" wrapText="1"/>
    </xf>
    <xf numFmtId="0" fontId="6" fillId="0" borderId="0" xfId="12" applyFont="1" applyAlignment="1">
      <alignment horizontal="left" wrapText="1"/>
    </xf>
    <xf numFmtId="0" fontId="8" fillId="0" borderId="0" xfId="12" applyFont="1" applyAlignment="1">
      <alignment horizontal="left" vertical="center" wrapText="1"/>
    </xf>
    <xf numFmtId="0" fontId="8" fillId="0" borderId="12" xfId="12" applyFont="1" applyBorder="1" applyAlignment="1">
      <alignment horizontal="right" vertical="center" wrapText="1"/>
    </xf>
    <xf numFmtId="0" fontId="8" fillId="0" borderId="13" xfId="12" applyFont="1" applyBorder="1" applyAlignment="1">
      <alignment horizontal="right" vertical="center" wrapText="1"/>
    </xf>
    <xf numFmtId="0" fontId="8" fillId="0" borderId="2" xfId="12" applyFont="1" applyBorder="1" applyAlignment="1">
      <alignment horizontal="left" vertical="center" wrapText="1"/>
    </xf>
    <xf numFmtId="0" fontId="8" fillId="0" borderId="5" xfId="12" applyFont="1" applyBorder="1" applyAlignment="1">
      <alignment horizontal="left" vertical="center" wrapText="1"/>
    </xf>
    <xf numFmtId="0" fontId="7" fillId="0" borderId="0" xfId="12" applyFont="1" applyAlignment="1">
      <alignment horizontal="left" vertical="center" wrapText="1"/>
    </xf>
    <xf numFmtId="0" fontId="35" fillId="0" borderId="0" xfId="12" applyFont="1" applyAlignment="1">
      <alignment horizontal="center" vertical="top" wrapText="1"/>
    </xf>
    <xf numFmtId="0" fontId="8" fillId="0" borderId="0" xfId="12" applyFont="1" applyAlignment="1">
      <alignment horizontal="left" vertical="top" wrapText="1" indent="1"/>
    </xf>
    <xf numFmtId="0" fontId="34" fillId="0" borderId="0" xfId="12" applyFont="1" applyAlignment="1">
      <alignment horizontal="center" vertical="center"/>
    </xf>
    <xf numFmtId="0" fontId="6" fillId="0" borderId="25" xfId="12" applyFont="1" applyBorder="1" applyAlignment="1">
      <alignment horizontal="left" vertical="center" wrapText="1"/>
    </xf>
    <xf numFmtId="0" fontId="6" fillId="0" borderId="33" xfId="12" applyFont="1" applyBorder="1" applyAlignment="1">
      <alignment horizontal="left" vertical="center" wrapText="1"/>
    </xf>
    <xf numFmtId="0" fontId="6" fillId="0" borderId="26" xfId="12" applyFont="1" applyBorder="1" applyAlignment="1">
      <alignment horizontal="left" vertical="center" wrapText="1"/>
    </xf>
  </cellXfs>
  <cellStyles count="18">
    <cellStyle name="A_Amount" xfId="11" xr:uid="{00000000-0005-0000-0000-000000000000}"/>
    <cellStyle name="Comma" xfId="1" builtinId="3"/>
    <cellStyle name="Comma 2" xfId="14" xr:uid="{00000000-0005-0000-0000-000002000000}"/>
    <cellStyle name="Comma 2 2" xfId="17" xr:uid="{B95E26F7-C96C-447D-8EA4-52138647159E}"/>
    <cellStyle name="Comma0" xfId="2" xr:uid="{00000000-0005-0000-0000-000003000000}"/>
    <cellStyle name="Currency" xfId="3" builtinId="4"/>
    <cellStyle name="Currency 2" xfId="4" xr:uid="{00000000-0005-0000-0000-000005000000}"/>
    <cellStyle name="Normal" xfId="0" builtinId="0"/>
    <cellStyle name="Normal 10" xfId="10" xr:uid="{00000000-0005-0000-0000-000007000000}"/>
    <cellStyle name="Normal 2" xfId="5" xr:uid="{00000000-0005-0000-0000-000008000000}"/>
    <cellStyle name="Normal 2 2" xfId="12" xr:uid="{00000000-0005-0000-0000-000009000000}"/>
    <cellStyle name="Normal 2 3" xfId="13" xr:uid="{00000000-0005-0000-0000-00000A000000}"/>
    <cellStyle name="Normal 2 3 2" xfId="16" xr:uid="{C644FF06-1FD4-4FF6-A682-3D93D983C85C}"/>
    <cellStyle name="Normal 4" xfId="8" xr:uid="{00000000-0005-0000-0000-00000B000000}"/>
    <cellStyle name="Normal 4 2" xfId="15" xr:uid="{019EFDA7-A612-48EE-ADA3-C0F48418018E}"/>
    <cellStyle name="OPSKRIF" xfId="6" xr:uid="{00000000-0005-0000-0000-00000C000000}"/>
    <cellStyle name="or" xfId="9" xr:uid="{00000000-0005-0000-0000-00000D000000}"/>
    <cellStyle name="Per cent" xfId="7" builtinId="5"/>
  </cellStyles>
  <dxfs count="17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0066"/>
      <color rgb="FFFF99FF"/>
      <color rgb="FF33CC33"/>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checked="Checked" fmlaLink="$C$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1079500</xdr:colOff>
          <xdr:row>6</xdr:row>
          <xdr:rowOff>127000</xdr:rowOff>
        </xdr:from>
        <xdr:to>
          <xdr:col>3</xdr:col>
          <xdr:colOff>533400</xdr:colOff>
          <xdr:row>8</xdr:row>
          <xdr:rowOff>50800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000-000001D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ZA" sz="800" b="0" i="0" u="none" strike="noStrike" baseline="0">
                  <a:solidFill>
                    <a:srgbClr val="000000"/>
                  </a:solidFill>
                  <a:latin typeface="Segoe UI"/>
                  <a:cs typeface="Segoe UI"/>
                </a:rPr>
                <a:t>Show Pricing in BoQ</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ravi\AppData\Local\Microsoft\Windows\INetCache\Content.Outlook\U9YB5Z74\D1867%2020200311%20Estimate.xlsx" TargetMode="External"/><Relationship Id="rId1" Type="http://schemas.openxmlformats.org/officeDocument/2006/relationships/externalLinkPath" Target="/Users/dravi/AppData/Local/Microsoft/Windows/INetCache/Content.Outlook/U9YB5Z74/D1867%2020200311%20Estima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Proj\1062_DOT_D1841%20Phase%201b\D1867%2020200311%20Estimate%20SAMPLE.xlsx" TargetMode="External"/><Relationship Id="rId1" Type="http://schemas.openxmlformats.org/officeDocument/2006/relationships/externalLinkPath" Target="/Proj/1062_DOT_D1841%20Phase%201b/D1867%2020200311%20Estimate%20SAMP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02%20RT\280RT%20-%20Empangeni%20Rehab\07%20P389%20(Reseal)\04%20Procurement\04%20Estimate\20190909%20to%20DoT\P389%20km4-km12%2020190909%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2"/>
      <sheetName val="1.3"/>
      <sheetName val="1.4"/>
      <sheetName val="1.5"/>
      <sheetName val="1.6"/>
      <sheetName val="1.7"/>
      <sheetName val="2.1"/>
      <sheetName val="3.1 "/>
      <sheetName val="4.1"/>
      <sheetName val="4.2"/>
      <sheetName val="4.4"/>
      <sheetName val="4.5"/>
      <sheetName val="5.1"/>
      <sheetName val="5.2"/>
      <sheetName val="5.3"/>
      <sheetName val="5.4"/>
      <sheetName val="8.1"/>
      <sheetName val="C9.1"/>
      <sheetName val="11.9"/>
      <sheetName val="20.1"/>
      <sheetName val="A"/>
      <sheetName val="Sch D"/>
      <sheetName val="D"/>
      <sheetName val="Sch E"/>
      <sheetName val="E"/>
      <sheetName val="Sch F"/>
      <sheetName val="F"/>
      <sheetName val="Summary"/>
      <sheetName val="Labour"/>
      <sheetName val="CPG"/>
      <sheetName val="1.3 (2)"/>
      <sheetName val="1.5 (2)"/>
      <sheetName val="3.1(2)"/>
      <sheetName val="C3.2"/>
      <sheetName val="C3.3"/>
      <sheetName val="C11.1"/>
      <sheetName val="C11.2"/>
      <sheetName val="C11.3"/>
      <sheetName val="C11.4"/>
      <sheetName val="C11.6"/>
      <sheetName val="C11.7 (2)"/>
      <sheetName val="C13.1 (km7.2) (Mozana)"/>
      <sheetName val="C13.2 (km7.2)  (Mozana)"/>
      <sheetName val="C13.3 (km7.2)  (Mozana) "/>
      <sheetName val="C13.4 (km7.2)  Mozana)"/>
      <sheetName val="C13.6 (km7.2)  (Mozana)"/>
      <sheetName val="C13.7 (km7.2)  (Mozana)"/>
      <sheetName val="C13.8 (km7.2)Mozana"/>
      <sheetName val="Relegated"/>
      <sheetName val="Sheet1"/>
      <sheetName val="Sheet3"/>
      <sheetName val="Sheet2"/>
    </sheetNames>
    <sheetDataSet>
      <sheetData sheetId="0" refreshError="1">
        <row r="2">
          <cell r="C2" t="str">
            <v>Province of KwaZulu-Natal</v>
          </cell>
        </row>
        <row r="3">
          <cell r="C3" t="str">
            <v>Department of Transport</v>
          </cell>
        </row>
        <row r="5">
          <cell r="C5" t="str">
            <v>ZNT4087/19T</v>
          </cell>
        </row>
        <row r="6">
          <cell r="C6" t="str">
            <v>THE UPGRADE OF D1867 FROM GRAVEL TO BLACKTOP AT KM6.000 TO KM16.873 AND NEW MOZANA BRIDGE NO3518 IN ZULULAND DISTRICT UNDER EMPANGENI REGION.</v>
          </cell>
        </row>
        <row r="11">
          <cell r="C11">
            <v>44.79</v>
          </cell>
        </row>
        <row r="12">
          <cell r="J12">
            <v>38</v>
          </cell>
        </row>
        <row r="13">
          <cell r="C13">
            <v>403.11</v>
          </cell>
          <cell r="J13">
            <v>40</v>
          </cell>
        </row>
        <row r="14">
          <cell r="J14">
            <v>42</v>
          </cell>
        </row>
        <row r="15">
          <cell r="J15">
            <v>45</v>
          </cell>
        </row>
        <row r="16">
          <cell r="C16">
            <v>18</v>
          </cell>
          <cell r="J16">
            <v>46</v>
          </cell>
        </row>
        <row r="25">
          <cell r="C25">
            <v>9.1999999999999993</v>
          </cell>
        </row>
        <row r="27">
          <cell r="C27">
            <v>0.1</v>
          </cell>
        </row>
        <row r="38">
          <cell r="E38">
            <v>0.28999999999999998</v>
          </cell>
        </row>
        <row r="40">
          <cell r="E40">
            <v>8.6999999999999993</v>
          </cell>
        </row>
        <row r="41">
          <cell r="E41">
            <v>392</v>
          </cell>
        </row>
        <row r="42">
          <cell r="E42">
            <v>392</v>
          </cell>
        </row>
        <row r="44">
          <cell r="E44">
            <v>169</v>
          </cell>
        </row>
        <row r="46">
          <cell r="E46">
            <v>14.9</v>
          </cell>
        </row>
        <row r="51">
          <cell r="E51">
            <v>55</v>
          </cell>
        </row>
        <row r="52">
          <cell r="E52">
            <v>134</v>
          </cell>
        </row>
        <row r="53">
          <cell r="E53">
            <v>4.5</v>
          </cell>
        </row>
        <row r="54">
          <cell r="E54">
            <v>3.7</v>
          </cell>
        </row>
        <row r="58">
          <cell r="E58">
            <v>31.854857142857142</v>
          </cell>
        </row>
        <row r="60">
          <cell r="E60">
            <v>403</v>
          </cell>
        </row>
        <row r="61">
          <cell r="E61">
            <v>202</v>
          </cell>
        </row>
        <row r="62">
          <cell r="E62">
            <v>62</v>
          </cell>
        </row>
        <row r="63">
          <cell r="E63">
            <v>90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2"/>
      <sheetName val="1.3"/>
      <sheetName val="1.4"/>
      <sheetName val="1.5"/>
      <sheetName val="1.6"/>
      <sheetName val="1.7"/>
      <sheetName val="2.1"/>
      <sheetName val="3.1 "/>
      <sheetName val="4.1"/>
      <sheetName val="4.2"/>
      <sheetName val="4.4"/>
      <sheetName val="4.5"/>
      <sheetName val="5.1"/>
      <sheetName val="5.2"/>
      <sheetName val="5.3"/>
      <sheetName val="5.4"/>
      <sheetName val="8.1"/>
      <sheetName val="C9.1"/>
      <sheetName val="11.9"/>
      <sheetName val="20.1"/>
      <sheetName val="A"/>
      <sheetName val="Sch D"/>
      <sheetName val="D"/>
      <sheetName val="Sch E"/>
      <sheetName val="E"/>
      <sheetName val="Sch F"/>
      <sheetName val="F"/>
      <sheetName val="Summary"/>
      <sheetName val="Labour"/>
      <sheetName val="CPG"/>
      <sheetName val="1.3 (2)"/>
      <sheetName val="1.5 (2)"/>
      <sheetName val="3.1(2)"/>
      <sheetName val="C3.2"/>
      <sheetName val="C3.3"/>
      <sheetName val="C11.1"/>
      <sheetName val="C11.2"/>
      <sheetName val="C11.3"/>
      <sheetName val="C11.4"/>
      <sheetName val="C11.6"/>
      <sheetName val="C11.7 (2)"/>
      <sheetName val="C13.1 (km7.2) (Mozana)"/>
      <sheetName val="C13.2 (km7.2)  (Mozana)"/>
      <sheetName val="C13.3 (km7.2)  (Mozana) "/>
      <sheetName val="C13.4 (km7.2)  Mozana)"/>
      <sheetName val="C13.6 (km7.2)  (Mozana)"/>
      <sheetName val="C13.7 (km7.2)  (Mozana)"/>
      <sheetName val="C13.8 (km7.2)Mozana"/>
      <sheetName val="Relegated"/>
      <sheetName val="Sheet1"/>
      <sheetName val="Sheet3"/>
      <sheetName val="Sheet2"/>
    </sheetNames>
    <sheetDataSet>
      <sheetData sheetId="0">
        <row r="2">
          <cell r="C2" t="str">
            <v>Province of KwaZulu-Natal</v>
          </cell>
        </row>
        <row r="3">
          <cell r="C3" t="str">
            <v>Department of Transport</v>
          </cell>
        </row>
        <row r="5">
          <cell r="C5" t="str">
            <v>ZNT4087/19T</v>
          </cell>
        </row>
        <row r="6">
          <cell r="C6" t="str">
            <v>THE UPGRADE OF D1867 FROM GRAVEL TO BLACKTOP AT KM6.000 TO KM16.873 AND NEW MOZANA BRIDGE NO3518 IN ZULULAND DISTRICT UNDER EMPANGENI REGION.</v>
          </cell>
        </row>
        <row r="11">
          <cell r="C11">
            <v>44.79</v>
          </cell>
        </row>
        <row r="12">
          <cell r="J12">
            <v>38</v>
          </cell>
        </row>
        <row r="13">
          <cell r="C13">
            <v>403.11</v>
          </cell>
          <cell r="J13">
            <v>40</v>
          </cell>
        </row>
        <row r="14">
          <cell r="J14">
            <v>42</v>
          </cell>
        </row>
        <row r="15">
          <cell r="J15">
            <v>45</v>
          </cell>
        </row>
        <row r="16">
          <cell r="C16">
            <v>18</v>
          </cell>
          <cell r="J16">
            <v>46</v>
          </cell>
        </row>
        <row r="25">
          <cell r="C25">
            <v>9.1999999999999993</v>
          </cell>
        </row>
        <row r="27">
          <cell r="C27">
            <v>0.1</v>
          </cell>
        </row>
        <row r="38">
          <cell r="E38">
            <v>0.28999999999999998</v>
          </cell>
        </row>
        <row r="40">
          <cell r="E40">
            <v>8.6999999999999993</v>
          </cell>
        </row>
        <row r="41">
          <cell r="E41">
            <v>392</v>
          </cell>
        </row>
        <row r="42">
          <cell r="E42">
            <v>392</v>
          </cell>
        </row>
        <row r="44">
          <cell r="E44">
            <v>169</v>
          </cell>
        </row>
        <row r="46">
          <cell r="E46">
            <v>14.9</v>
          </cell>
        </row>
        <row r="51">
          <cell r="E51">
            <v>55</v>
          </cell>
        </row>
        <row r="52">
          <cell r="E52">
            <v>134</v>
          </cell>
        </row>
        <row r="53">
          <cell r="E53">
            <v>4.5</v>
          </cell>
        </row>
        <row r="54">
          <cell r="E54">
            <v>3.7</v>
          </cell>
        </row>
        <row r="58">
          <cell r="E58">
            <v>31.854857142857142</v>
          </cell>
        </row>
        <row r="60">
          <cell r="E60">
            <v>403</v>
          </cell>
        </row>
        <row r="61">
          <cell r="E61">
            <v>202</v>
          </cell>
        </row>
        <row r="62">
          <cell r="E62">
            <v>62</v>
          </cell>
        </row>
        <row r="63">
          <cell r="E63">
            <v>90</v>
          </cell>
        </row>
      </sheetData>
      <sheetData sheetId="1">
        <row r="1">
          <cell r="K1">
            <v>133036</v>
          </cell>
        </row>
      </sheetData>
      <sheetData sheetId="2">
        <row r="1">
          <cell r="K1">
            <v>556677</v>
          </cell>
        </row>
      </sheetData>
      <sheetData sheetId="3">
        <row r="1">
          <cell r="K1">
            <v>140075</v>
          </cell>
        </row>
      </sheetData>
      <sheetData sheetId="4">
        <row r="1">
          <cell r="K1">
            <v>2734230</v>
          </cell>
        </row>
      </sheetData>
      <sheetData sheetId="5">
        <row r="1">
          <cell r="K1">
            <v>83542.5</v>
          </cell>
        </row>
      </sheetData>
      <sheetData sheetId="6" refreshError="1"/>
      <sheetData sheetId="7" refreshError="1"/>
      <sheetData sheetId="8" refreshError="1"/>
      <sheetData sheetId="9" refreshError="1"/>
      <sheetData sheetId="10" refreshError="1"/>
      <sheetData sheetId="11">
        <row r="1">
          <cell r="K1">
            <v>3063075.9225000003</v>
          </cell>
        </row>
      </sheetData>
      <sheetData sheetId="12">
        <row r="1">
          <cell r="K1">
            <v>30000</v>
          </cell>
        </row>
      </sheetData>
      <sheetData sheetId="13" refreshError="1"/>
      <sheetData sheetId="14" refreshError="1"/>
      <sheetData sheetId="15" refreshError="1"/>
      <sheetData sheetId="16">
        <row r="1">
          <cell r="K1">
            <v>251310.70400000003</v>
          </cell>
        </row>
      </sheetData>
      <sheetData sheetId="17">
        <row r="1">
          <cell r="K1">
            <v>231883.12825000007</v>
          </cell>
        </row>
      </sheetData>
      <sheetData sheetId="18">
        <row r="1">
          <cell r="K1">
            <v>1560170</v>
          </cell>
        </row>
      </sheetData>
      <sheetData sheetId="19">
        <row r="1">
          <cell r="K1">
            <v>13750</v>
          </cell>
        </row>
      </sheetData>
      <sheetData sheetId="20">
        <row r="1">
          <cell r="K1">
            <v>90000</v>
          </cell>
        </row>
      </sheetData>
      <sheetData sheetId="21"/>
      <sheetData sheetId="22">
        <row r="1">
          <cell r="K1">
            <v>0</v>
          </cell>
        </row>
        <row r="6">
          <cell r="B6" t="str">
            <v>SCHEDULE D: DAYWORKS</v>
          </cell>
        </row>
        <row r="11">
          <cell r="B11" t="str">
            <v>C1.2.8</v>
          </cell>
          <cell r="C11" t="str">
            <v>Dayworks</v>
          </cell>
        </row>
      </sheetData>
      <sheetData sheetId="23" refreshError="1"/>
      <sheetData sheetId="24">
        <row r="1">
          <cell r="K1">
            <v>0</v>
          </cell>
        </row>
        <row r="6">
          <cell r="B6" t="str">
            <v>SCHEDULE F: EXPANDED PUBLIC WORKS PROGRAMME</v>
          </cell>
        </row>
        <row r="11">
          <cell r="B11" t="str">
            <v>F1000</v>
          </cell>
        </row>
      </sheetData>
      <sheetData sheetId="25" refreshError="1"/>
      <sheetData sheetId="26">
        <row r="6">
          <cell r="B6" t="str">
            <v>SCHEDULE G: CONTRACT PARTICIPATION GOALS</v>
          </cell>
        </row>
      </sheetData>
      <sheetData sheetId="27" refreshError="1"/>
      <sheetData sheetId="28">
        <row r="13">
          <cell r="E13">
            <v>296386502.04000002</v>
          </cell>
        </row>
      </sheetData>
      <sheetData sheetId="29"/>
      <sheetData sheetId="30">
        <row r="9">
          <cell r="G9">
            <v>7412441.4222689997</v>
          </cell>
        </row>
      </sheetData>
      <sheetData sheetId="31">
        <row r="1">
          <cell r="K1">
            <v>1627067.17</v>
          </cell>
        </row>
      </sheetData>
      <sheetData sheetId="32" refreshError="1"/>
      <sheetData sheetId="33">
        <row r="1">
          <cell r="K1">
            <v>1562930</v>
          </cell>
        </row>
      </sheetData>
      <sheetData sheetId="34">
        <row r="1">
          <cell r="K1">
            <v>1644238</v>
          </cell>
        </row>
      </sheetData>
      <sheetData sheetId="35">
        <row r="1">
          <cell r="K1">
            <v>4320377</v>
          </cell>
        </row>
      </sheetData>
      <sheetData sheetId="36">
        <row r="1">
          <cell r="K1">
            <v>288951</v>
          </cell>
        </row>
      </sheetData>
      <sheetData sheetId="37"/>
      <sheetData sheetId="38"/>
      <sheetData sheetId="39"/>
      <sheetData sheetId="40">
        <row r="1">
          <cell r="K1">
            <v>26670</v>
          </cell>
        </row>
      </sheetData>
      <sheetData sheetId="41">
        <row r="1">
          <cell r="K1">
            <v>877980</v>
          </cell>
        </row>
      </sheetData>
      <sheetData sheetId="42">
        <row r="1">
          <cell r="K1">
            <v>68481</v>
          </cell>
        </row>
      </sheetData>
      <sheetData sheetId="43">
        <row r="1">
          <cell r="K1">
            <v>60180</v>
          </cell>
        </row>
      </sheetData>
      <sheetData sheetId="44">
        <row r="1">
          <cell r="K1">
            <v>161541</v>
          </cell>
        </row>
      </sheetData>
      <sheetData sheetId="45">
        <row r="1">
          <cell r="K1">
            <v>226065</v>
          </cell>
        </row>
      </sheetData>
      <sheetData sheetId="46">
        <row r="1">
          <cell r="K1">
            <v>8360</v>
          </cell>
        </row>
      </sheetData>
      <sheetData sheetId="47">
        <row r="1">
          <cell r="K1">
            <v>2334</v>
          </cell>
        </row>
      </sheetData>
      <sheetData sheetId="48">
        <row r="1">
          <cell r="K1">
            <v>7496</v>
          </cell>
        </row>
      </sheetData>
      <sheetData sheetId="49" refreshError="1"/>
      <sheetData sheetId="50" refreshError="1"/>
      <sheetData sheetId="51" refreshError="1"/>
      <sheetData sheetId="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249977111117893"/>
  </sheetPr>
  <dimension ref="B2:P73"/>
  <sheetViews>
    <sheetView showGridLines="0" zoomScale="115" zoomScaleNormal="115" workbookViewId="0">
      <selection activeCell="C6" sqref="C6"/>
    </sheetView>
  </sheetViews>
  <sheetFormatPr defaultRowHeight="12.5" x14ac:dyDescent="0.25"/>
  <cols>
    <col min="1" max="1" width="2.6328125" customWidth="1"/>
    <col min="2" max="2" width="16.453125" customWidth="1"/>
    <col min="3" max="3" width="10.453125" customWidth="1"/>
    <col min="4" max="4" width="9.453125" customWidth="1"/>
    <col min="5" max="5" width="11.453125" customWidth="1"/>
    <col min="6" max="6" width="16.81640625" customWidth="1"/>
    <col min="9" max="9" width="9.6328125" customWidth="1"/>
    <col min="15" max="15" width="10" customWidth="1"/>
    <col min="16" max="16" width="10.08984375" customWidth="1"/>
    <col min="17" max="17" width="12.453125" customWidth="1"/>
  </cols>
  <sheetData>
    <row r="2" spans="2:10" ht="13" x14ac:dyDescent="0.25">
      <c r="B2" s="4" t="s">
        <v>41</v>
      </c>
      <c r="C2" s="32" t="s">
        <v>39</v>
      </c>
      <c r="D2" s="34"/>
      <c r="E2" s="34"/>
    </row>
    <row r="3" spans="2:10" ht="13" x14ac:dyDescent="0.25">
      <c r="B3" s="4" t="s">
        <v>42</v>
      </c>
      <c r="C3" s="33" t="s">
        <v>40</v>
      </c>
      <c r="D3" s="34"/>
      <c r="E3" s="34"/>
    </row>
    <row r="5" spans="2:10" ht="13" x14ac:dyDescent="0.25">
      <c r="B5" s="4" t="s">
        <v>43</v>
      </c>
      <c r="C5" s="34" t="s">
        <v>655</v>
      </c>
      <c r="D5" s="34"/>
      <c r="E5" s="34"/>
    </row>
    <row r="6" spans="2:10" ht="13" x14ac:dyDescent="0.25">
      <c r="B6" s="4" t="s">
        <v>58</v>
      </c>
      <c r="C6" s="20" t="s">
        <v>657</v>
      </c>
      <c r="D6" s="34"/>
      <c r="E6" s="34"/>
      <c r="F6" s="34"/>
      <c r="G6" s="34"/>
      <c r="H6" s="34"/>
      <c r="I6" s="34"/>
      <c r="J6" s="34"/>
    </row>
    <row r="8" spans="2:10" x14ac:dyDescent="0.25">
      <c r="C8" s="30" t="b">
        <v>1</v>
      </c>
    </row>
    <row r="11" spans="2:10" ht="13" x14ac:dyDescent="0.3">
      <c r="B11" s="4" t="s">
        <v>44</v>
      </c>
      <c r="C11" s="44">
        <v>44.79</v>
      </c>
      <c r="D11" s="4" t="s">
        <v>74</v>
      </c>
      <c r="E11" s="4"/>
      <c r="I11" s="50" t="s">
        <v>66</v>
      </c>
    </row>
    <row r="12" spans="2:10" x14ac:dyDescent="0.25">
      <c r="B12" s="4" t="s">
        <v>45</v>
      </c>
      <c r="C12" s="45">
        <v>9</v>
      </c>
      <c r="I12" s="51" t="s">
        <v>67</v>
      </c>
      <c r="J12" s="52">
        <v>38</v>
      </c>
    </row>
    <row r="13" spans="2:10" x14ac:dyDescent="0.25">
      <c r="B13" s="4" t="s">
        <v>46</v>
      </c>
      <c r="C13" s="47">
        <f>ROUND(C11*C12,2)</f>
        <v>403.11</v>
      </c>
      <c r="D13" s="4" t="s">
        <v>75</v>
      </c>
      <c r="E13" s="4"/>
      <c r="I13" s="51" t="s">
        <v>68</v>
      </c>
      <c r="J13" s="52">
        <f>Page_A+2</f>
        <v>40</v>
      </c>
    </row>
    <row r="14" spans="2:10" x14ac:dyDescent="0.25">
      <c r="I14" s="51" t="s">
        <v>69</v>
      </c>
      <c r="J14" s="52">
        <f>Page_D+2</f>
        <v>42</v>
      </c>
    </row>
    <row r="15" spans="2:10" x14ac:dyDescent="0.25">
      <c r="I15" s="51" t="s">
        <v>70</v>
      </c>
      <c r="J15" s="52">
        <f>Page_F+3</f>
        <v>45</v>
      </c>
    </row>
    <row r="16" spans="2:10" ht="13" x14ac:dyDescent="0.3">
      <c r="B16" s="4" t="s">
        <v>47</v>
      </c>
      <c r="C16" s="45">
        <v>8</v>
      </c>
      <c r="D16" s="4" t="s">
        <v>73</v>
      </c>
      <c r="E16" s="4"/>
      <c r="F16" s="36" t="s">
        <v>51</v>
      </c>
      <c r="G16" s="36"/>
      <c r="I16" s="51" t="s">
        <v>71</v>
      </c>
      <c r="J16" s="52">
        <f>Page_G+1</f>
        <v>46</v>
      </c>
    </row>
    <row r="17" spans="2:16" ht="13" x14ac:dyDescent="0.3">
      <c r="B17" s="4"/>
      <c r="F17" s="37" t="s">
        <v>52</v>
      </c>
      <c r="G17" s="37" t="s">
        <v>53</v>
      </c>
    </row>
    <row r="18" spans="2:16" x14ac:dyDescent="0.25">
      <c r="F18" s="38" t="s">
        <v>54</v>
      </c>
      <c r="G18" s="39">
        <v>0.1</v>
      </c>
    </row>
    <row r="19" spans="2:16" x14ac:dyDescent="0.25">
      <c r="B19" s="4" t="s">
        <v>50</v>
      </c>
      <c r="C19" s="46">
        <v>0.1</v>
      </c>
      <c r="F19" s="40" t="s">
        <v>55</v>
      </c>
      <c r="G19" s="41">
        <v>0.08</v>
      </c>
    </row>
    <row r="20" spans="2:16" x14ac:dyDescent="0.25">
      <c r="B20" s="4" t="s">
        <v>48</v>
      </c>
      <c r="C20" s="46">
        <v>0.06</v>
      </c>
      <c r="F20" s="42" t="s">
        <v>56</v>
      </c>
      <c r="G20" s="43">
        <v>0.05</v>
      </c>
    </row>
    <row r="23" spans="2:16" x14ac:dyDescent="0.25">
      <c r="B23" s="4" t="s">
        <v>59</v>
      </c>
      <c r="C23" s="45">
        <v>18.7</v>
      </c>
    </row>
    <row r="24" spans="2:16" x14ac:dyDescent="0.25">
      <c r="B24" s="4" t="s">
        <v>60</v>
      </c>
      <c r="C24" s="45">
        <v>27.9</v>
      </c>
    </row>
    <row r="25" spans="2:16" ht="13" x14ac:dyDescent="0.3">
      <c r="B25" s="4" t="s">
        <v>57</v>
      </c>
      <c r="C25" s="49">
        <f>ABS(C24-C23)</f>
        <v>9.1999999999999993</v>
      </c>
      <c r="D25" s="4" t="s">
        <v>28</v>
      </c>
      <c r="E25" s="4"/>
      <c r="F25" s="50" t="s">
        <v>107</v>
      </c>
    </row>
    <row r="26" spans="2:16" x14ac:dyDescent="0.25">
      <c r="O26" s="4" t="s">
        <v>170</v>
      </c>
    </row>
    <row r="27" spans="2:16" ht="25" x14ac:dyDescent="0.25">
      <c r="B27" s="48" t="s">
        <v>65</v>
      </c>
      <c r="C27" s="46">
        <v>0.1</v>
      </c>
      <c r="F27" s="77" t="s">
        <v>105</v>
      </c>
      <c r="G27" s="77" t="s">
        <v>94</v>
      </c>
      <c r="H27" s="77" t="s">
        <v>95</v>
      </c>
      <c r="I27" s="77" t="s">
        <v>96</v>
      </c>
      <c r="J27" s="77" t="s">
        <v>97</v>
      </c>
      <c r="K27" s="77" t="s">
        <v>106</v>
      </c>
      <c r="O27" s="120" t="s">
        <v>111</v>
      </c>
      <c r="P27" s="120" t="s">
        <v>109</v>
      </c>
    </row>
    <row r="28" spans="2:16" ht="13" x14ac:dyDescent="0.3">
      <c r="F28" s="72" t="s">
        <v>98</v>
      </c>
      <c r="G28" s="73">
        <v>0.15</v>
      </c>
      <c r="H28" s="73">
        <v>0.5</v>
      </c>
      <c r="I28" s="73">
        <v>0.2</v>
      </c>
      <c r="J28" s="73">
        <v>0.15</v>
      </c>
      <c r="K28" s="78">
        <f>SUM(F28:J28)</f>
        <v>1</v>
      </c>
      <c r="O28" s="121">
        <f>ROUND((((1.61+3.3)*0.5*1.35)+(3.3*0.6))*0.15,1)</f>
        <v>0.8</v>
      </c>
      <c r="P28" s="121">
        <f>ROUND(0.935*(3.3),1)</f>
        <v>3.1</v>
      </c>
    </row>
    <row r="29" spans="2:16" ht="13" x14ac:dyDescent="0.3">
      <c r="B29" s="4" t="s">
        <v>62</v>
      </c>
      <c r="F29" s="122" t="s">
        <v>99</v>
      </c>
      <c r="G29" s="123"/>
      <c r="H29" s="123"/>
      <c r="I29" s="123"/>
      <c r="J29" s="123"/>
      <c r="K29" s="124"/>
    </row>
    <row r="30" spans="2:16" ht="13" x14ac:dyDescent="0.3">
      <c r="B30" s="4" t="s">
        <v>63</v>
      </c>
      <c r="C30" s="45">
        <v>1</v>
      </c>
      <c r="D30" s="4" t="s">
        <v>64</v>
      </c>
      <c r="E30" s="4"/>
      <c r="F30" s="74" t="s">
        <v>100</v>
      </c>
      <c r="G30" s="75">
        <v>0.2</v>
      </c>
      <c r="H30" s="75">
        <v>0.2</v>
      </c>
      <c r="I30" s="75">
        <v>0.55000000000000004</v>
      </c>
      <c r="J30" s="75">
        <v>0.05</v>
      </c>
      <c r="K30" s="79">
        <f>SUM(F30:J30)</f>
        <v>1</v>
      </c>
      <c r="O30" s="66"/>
      <c r="P30" s="66"/>
    </row>
    <row r="31" spans="2:16" ht="13" x14ac:dyDescent="0.3">
      <c r="B31" s="4" t="s">
        <v>90</v>
      </c>
      <c r="C31" s="45">
        <v>12</v>
      </c>
      <c r="D31" s="4" t="s">
        <v>91</v>
      </c>
      <c r="E31" s="4"/>
      <c r="F31" s="125" t="s">
        <v>101</v>
      </c>
      <c r="G31" s="126"/>
      <c r="H31" s="126"/>
      <c r="I31" s="126"/>
      <c r="J31" s="126"/>
      <c r="K31" s="127"/>
    </row>
    <row r="32" spans="2:16" ht="25.5" x14ac:dyDescent="0.3">
      <c r="F32" s="74" t="s">
        <v>102</v>
      </c>
      <c r="G32" s="75">
        <v>0.2</v>
      </c>
      <c r="H32" s="75">
        <v>0.35</v>
      </c>
      <c r="I32" s="75">
        <v>0.35</v>
      </c>
      <c r="J32" s="75">
        <v>0.1</v>
      </c>
      <c r="K32" s="79">
        <f>SUM(F32:J32)</f>
        <v>1</v>
      </c>
    </row>
    <row r="33" spans="2:14" ht="25.5" x14ac:dyDescent="0.3">
      <c r="F33" s="74" t="s">
        <v>103</v>
      </c>
      <c r="G33" s="75">
        <v>0.4</v>
      </c>
      <c r="H33" s="75">
        <v>0.1</v>
      </c>
      <c r="I33" s="75">
        <v>0.45</v>
      </c>
      <c r="J33" s="75">
        <v>0.05</v>
      </c>
      <c r="K33" s="79">
        <f>SUM(F33:J33)</f>
        <v>1</v>
      </c>
    </row>
    <row r="34" spans="2:14" ht="25.5" x14ac:dyDescent="0.3">
      <c r="F34" s="76" t="s">
        <v>104</v>
      </c>
      <c r="G34" s="75">
        <v>0.15</v>
      </c>
      <c r="H34" s="75">
        <v>0.15</v>
      </c>
      <c r="I34" s="75">
        <v>0.6</v>
      </c>
      <c r="J34" s="75">
        <v>0.1</v>
      </c>
      <c r="K34" s="79">
        <f>SUM(F34:J34)</f>
        <v>0.99999999999999989</v>
      </c>
    </row>
    <row r="36" spans="2:14" ht="13" x14ac:dyDescent="0.3">
      <c r="B36" s="50" t="s">
        <v>113</v>
      </c>
    </row>
    <row r="37" spans="2:14" ht="16.5" customHeight="1" x14ac:dyDescent="0.25">
      <c r="B37" s="108" t="s">
        <v>128</v>
      </c>
      <c r="C37" s="107"/>
      <c r="D37" s="77" t="s">
        <v>125</v>
      </c>
      <c r="E37" s="77" t="s">
        <v>124</v>
      </c>
      <c r="F37" s="77" t="s">
        <v>116</v>
      </c>
      <c r="G37" s="109"/>
      <c r="H37" s="110"/>
      <c r="I37" s="110"/>
      <c r="J37" s="110" t="s">
        <v>135</v>
      </c>
      <c r="K37" s="110"/>
      <c r="L37" s="110"/>
      <c r="M37" s="110"/>
      <c r="N37" s="111"/>
    </row>
    <row r="38" spans="2:14" x14ac:dyDescent="0.25">
      <c r="B38" s="89" t="s">
        <v>163</v>
      </c>
      <c r="C38" s="83"/>
      <c r="D38" s="97"/>
      <c r="E38" s="103">
        <f>ROUND(_LabourRate*70/60/60/0.06/50,2)</f>
        <v>0.28999999999999998</v>
      </c>
      <c r="F38" s="92" t="s">
        <v>122</v>
      </c>
      <c r="G38" s="89" t="s">
        <v>161</v>
      </c>
      <c r="H38" s="112"/>
      <c r="I38" s="112"/>
      <c r="J38" s="112" t="s">
        <v>162</v>
      </c>
      <c r="K38" s="112"/>
      <c r="L38" s="112"/>
      <c r="M38" s="112"/>
      <c r="N38" s="93"/>
    </row>
    <row r="39" spans="2:14" x14ac:dyDescent="0.25">
      <c r="B39" s="90" t="s">
        <v>114</v>
      </c>
      <c r="C39" s="82"/>
      <c r="D39" s="100"/>
      <c r="E39" s="104">
        <v>30</v>
      </c>
      <c r="F39" s="85"/>
      <c r="G39" s="118"/>
      <c r="H39" s="113"/>
      <c r="I39" s="113"/>
      <c r="J39" s="113"/>
      <c r="K39" s="113"/>
      <c r="L39" s="113"/>
      <c r="M39" s="113"/>
      <c r="N39" s="94"/>
    </row>
    <row r="40" spans="2:14" ht="13" x14ac:dyDescent="0.3">
      <c r="B40" s="90" t="s">
        <v>164</v>
      </c>
      <c r="C40" s="82"/>
      <c r="D40" s="101" t="s">
        <v>126</v>
      </c>
      <c r="E40" s="105">
        <f>ROUND(_HaulPerMetre*E39,1)</f>
        <v>8.6999999999999993</v>
      </c>
      <c r="F40" s="86" t="s">
        <v>119</v>
      </c>
      <c r="G40" s="90"/>
      <c r="H40" s="114"/>
      <c r="I40" s="114"/>
      <c r="J40" s="114"/>
      <c r="K40" s="114"/>
      <c r="L40" s="114"/>
      <c r="M40" s="114"/>
      <c r="N40" s="95"/>
    </row>
    <row r="41" spans="2:14" ht="13" x14ac:dyDescent="0.3">
      <c r="B41" s="90" t="s">
        <v>115</v>
      </c>
      <c r="C41" s="82"/>
      <c r="D41" s="101" t="s">
        <v>126</v>
      </c>
      <c r="E41" s="105">
        <f>ROUND(7*15/60*_LabourRate*5,0)</f>
        <v>392</v>
      </c>
      <c r="F41" s="86" t="s">
        <v>117</v>
      </c>
      <c r="G41" s="90" t="s">
        <v>158</v>
      </c>
      <c r="H41" s="114"/>
      <c r="I41" s="114"/>
      <c r="J41" s="114"/>
      <c r="K41" s="114"/>
      <c r="L41" s="114"/>
      <c r="M41" s="114"/>
      <c r="N41" s="95"/>
    </row>
    <row r="42" spans="2:14" x14ac:dyDescent="0.25">
      <c r="B42" s="91" t="s">
        <v>112</v>
      </c>
      <c r="C42" s="84"/>
      <c r="D42" s="102" t="s">
        <v>13</v>
      </c>
      <c r="E42" s="105">
        <f>_Mix</f>
        <v>392</v>
      </c>
      <c r="F42" s="87" t="s">
        <v>118</v>
      </c>
      <c r="G42" s="91" t="s">
        <v>159</v>
      </c>
      <c r="H42" s="115"/>
      <c r="I42" s="115"/>
      <c r="J42" s="115"/>
      <c r="K42" s="115"/>
      <c r="L42" s="115"/>
      <c r="M42" s="115"/>
      <c r="N42" s="96"/>
    </row>
    <row r="43" spans="2:14" x14ac:dyDescent="0.25">
      <c r="B43" s="90" t="s">
        <v>110</v>
      </c>
      <c r="C43" s="82"/>
      <c r="D43" s="101" t="s">
        <v>127</v>
      </c>
      <c r="E43" s="105">
        <f>ROUND(_LabourDaily*4/5,0)</f>
        <v>322</v>
      </c>
      <c r="F43" s="86" t="s">
        <v>123</v>
      </c>
      <c r="G43" s="90" t="s">
        <v>160</v>
      </c>
      <c r="H43" s="114"/>
      <c r="I43" s="114"/>
      <c r="J43" s="114"/>
      <c r="K43" s="114"/>
      <c r="L43" s="114"/>
      <c r="M43" s="114"/>
      <c r="N43" s="95"/>
    </row>
    <row r="44" spans="2:14" x14ac:dyDescent="0.25">
      <c r="B44" s="90" t="s">
        <v>120</v>
      </c>
      <c r="C44" s="82"/>
      <c r="D44" s="102" t="s">
        <v>13</v>
      </c>
      <c r="E44" s="105">
        <f>ROUND((_LabourDaily/2.5)+(_LabourRate*70/60/60/0.12),0)</f>
        <v>169</v>
      </c>
      <c r="F44" s="86" t="s">
        <v>121</v>
      </c>
      <c r="G44" s="90" t="s">
        <v>134</v>
      </c>
      <c r="H44" s="114"/>
      <c r="I44" s="114"/>
      <c r="J44" s="114"/>
      <c r="K44" s="114"/>
      <c r="L44" s="114"/>
      <c r="M44" s="114"/>
      <c r="N44" s="95"/>
    </row>
    <row r="45" spans="2:14" x14ac:dyDescent="0.25">
      <c r="B45" s="90" t="s">
        <v>129</v>
      </c>
      <c r="C45" s="82"/>
      <c r="D45" s="102" t="s">
        <v>13</v>
      </c>
      <c r="E45" s="105">
        <f>ROUND(_LabourRate/(5*0.1),1)</f>
        <v>89.6</v>
      </c>
      <c r="F45" s="86" t="s">
        <v>130</v>
      </c>
      <c r="G45" s="90" t="s">
        <v>143</v>
      </c>
      <c r="H45" s="114"/>
      <c r="I45" s="114"/>
      <c r="J45" s="114"/>
      <c r="K45" s="114"/>
      <c r="L45" s="114"/>
      <c r="M45" s="114"/>
      <c r="N45" s="95"/>
    </row>
    <row r="46" spans="2:14" x14ac:dyDescent="0.25">
      <c r="B46" s="90" t="s">
        <v>136</v>
      </c>
      <c r="C46" s="82"/>
      <c r="D46" s="102" t="s">
        <v>13</v>
      </c>
      <c r="E46" s="105">
        <f>ROUND(_LabourRate/(20*0.15),1)</f>
        <v>14.9</v>
      </c>
      <c r="F46" s="86" t="s">
        <v>137</v>
      </c>
      <c r="G46" s="90" t="s">
        <v>142</v>
      </c>
      <c r="H46" s="114"/>
      <c r="I46" s="114"/>
      <c r="J46" s="114"/>
      <c r="K46" s="114"/>
      <c r="L46" s="114"/>
      <c r="M46" s="114"/>
      <c r="N46" s="95"/>
    </row>
    <row r="47" spans="2:14" x14ac:dyDescent="0.25">
      <c r="B47" s="90" t="s">
        <v>131</v>
      </c>
      <c r="C47" s="82"/>
      <c r="D47" s="102" t="s">
        <v>13</v>
      </c>
      <c r="E47" s="105">
        <f>ROUND(_LabourRate/8,1)</f>
        <v>5.6</v>
      </c>
      <c r="F47" s="86" t="s">
        <v>132</v>
      </c>
      <c r="G47" s="90" t="s">
        <v>133</v>
      </c>
      <c r="H47" s="114"/>
      <c r="I47" s="114"/>
      <c r="J47" s="114"/>
      <c r="K47" s="114"/>
      <c r="L47" s="114"/>
      <c r="M47" s="114"/>
      <c r="N47" s="95"/>
    </row>
    <row r="48" spans="2:14" x14ac:dyDescent="0.25">
      <c r="B48" s="90" t="s">
        <v>76</v>
      </c>
      <c r="C48" s="82"/>
      <c r="D48" s="101" t="s">
        <v>127</v>
      </c>
      <c r="E48" s="105">
        <f>ROUND(_LabourDaily*4/25,0)</f>
        <v>64</v>
      </c>
      <c r="F48" s="86" t="s">
        <v>139</v>
      </c>
      <c r="G48" s="90" t="s">
        <v>138</v>
      </c>
      <c r="H48" s="113"/>
      <c r="I48" s="113"/>
      <c r="J48" s="113"/>
      <c r="K48" s="113"/>
      <c r="L48" s="113"/>
      <c r="M48" s="113"/>
      <c r="N48" s="94"/>
    </row>
    <row r="49" spans="2:14" x14ac:dyDescent="0.25">
      <c r="B49" s="90" t="s">
        <v>77</v>
      </c>
      <c r="C49" s="82"/>
      <c r="D49" s="101" t="s">
        <v>127</v>
      </c>
      <c r="E49" s="105">
        <f>ROUND(_LabourDaily*4/15,0)</f>
        <v>107</v>
      </c>
      <c r="F49" s="86" t="s">
        <v>140</v>
      </c>
      <c r="G49" s="90" t="s">
        <v>141</v>
      </c>
      <c r="H49" s="113"/>
      <c r="I49" s="113"/>
      <c r="J49" s="113"/>
      <c r="K49" s="113"/>
      <c r="L49" s="113"/>
      <c r="M49" s="113"/>
      <c r="N49" s="94"/>
    </row>
    <row r="50" spans="2:14" x14ac:dyDescent="0.25">
      <c r="B50" s="90" t="s">
        <v>25</v>
      </c>
      <c r="C50" s="82"/>
      <c r="D50" s="101" t="s">
        <v>14</v>
      </c>
      <c r="E50" s="105">
        <f>ROUND(_LabourRate/10*10000,1)</f>
        <v>44790</v>
      </c>
      <c r="F50" s="86" t="s">
        <v>144</v>
      </c>
      <c r="G50" s="90" t="s">
        <v>145</v>
      </c>
      <c r="H50" s="113"/>
      <c r="I50" s="113"/>
      <c r="J50" s="113"/>
      <c r="K50" s="113"/>
      <c r="L50" s="113"/>
      <c r="M50" s="113"/>
      <c r="N50" s="94"/>
    </row>
    <row r="51" spans="2:14" x14ac:dyDescent="0.25">
      <c r="B51" s="90" t="s">
        <v>147</v>
      </c>
      <c r="C51" s="82"/>
      <c r="D51" s="102" t="s">
        <v>13</v>
      </c>
      <c r="E51" s="105">
        <f>ROUND(_LabourDaily/10+_Wacker,0)</f>
        <v>55</v>
      </c>
      <c r="F51" s="86" t="s">
        <v>146</v>
      </c>
      <c r="G51" s="90" t="s">
        <v>148</v>
      </c>
      <c r="H51" s="113"/>
      <c r="I51" s="113"/>
      <c r="J51" s="113"/>
      <c r="K51" s="113"/>
      <c r="L51" s="113"/>
      <c r="M51" s="113"/>
      <c r="N51" s="94"/>
    </row>
    <row r="52" spans="2:14" x14ac:dyDescent="0.25">
      <c r="B52" s="90" t="s">
        <v>150</v>
      </c>
      <c r="C52" s="82"/>
      <c r="D52" s="101" t="s">
        <v>127</v>
      </c>
      <c r="E52" s="105">
        <f>ROUND(_LabourRate*3,0)</f>
        <v>134</v>
      </c>
      <c r="F52" s="86" t="s">
        <v>149</v>
      </c>
      <c r="G52" s="90" t="s">
        <v>151</v>
      </c>
      <c r="H52" s="113"/>
      <c r="I52" s="113"/>
      <c r="J52" s="113"/>
      <c r="K52" s="113"/>
      <c r="L52" s="113"/>
      <c r="M52" s="113"/>
      <c r="N52" s="94"/>
    </row>
    <row r="53" spans="2:14" x14ac:dyDescent="0.25">
      <c r="B53" s="90" t="s">
        <v>154</v>
      </c>
      <c r="C53" s="82"/>
      <c r="D53" s="101" t="s">
        <v>26</v>
      </c>
      <c r="E53" s="105">
        <f>ROUND(100/1000*_LabourRate,1)</f>
        <v>4.5</v>
      </c>
      <c r="F53" s="86" t="s">
        <v>152</v>
      </c>
      <c r="G53" s="90" t="s">
        <v>153</v>
      </c>
      <c r="H53" s="113"/>
      <c r="I53" s="113"/>
      <c r="J53" s="113"/>
      <c r="K53" s="113"/>
      <c r="L53" s="113"/>
      <c r="M53" s="113"/>
      <c r="N53" s="94"/>
    </row>
    <row r="54" spans="2:14" x14ac:dyDescent="0.25">
      <c r="B54" s="90" t="s">
        <v>155</v>
      </c>
      <c r="C54" s="82"/>
      <c r="D54" s="98" t="s">
        <v>9</v>
      </c>
      <c r="E54" s="105">
        <f>ROUND(_LabourRate*5/60,1)</f>
        <v>3.7</v>
      </c>
      <c r="F54" s="86" t="s">
        <v>156</v>
      </c>
      <c r="G54" s="90" t="s">
        <v>157</v>
      </c>
      <c r="H54" s="113"/>
      <c r="I54" s="113"/>
      <c r="J54" s="113"/>
      <c r="K54" s="113"/>
      <c r="L54" s="113"/>
      <c r="M54" s="113"/>
      <c r="N54" s="94"/>
    </row>
    <row r="55" spans="2:14" x14ac:dyDescent="0.25">
      <c r="B55" s="90" t="s">
        <v>166</v>
      </c>
      <c r="C55" s="82"/>
      <c r="D55" s="101" t="s">
        <v>9</v>
      </c>
      <c r="E55" s="105">
        <f>ROUND(_LabourRate*2*4/60,1)</f>
        <v>6</v>
      </c>
      <c r="F55" s="86" t="s">
        <v>167</v>
      </c>
      <c r="G55" s="90" t="s">
        <v>165</v>
      </c>
      <c r="H55" s="113"/>
      <c r="I55" s="113"/>
      <c r="J55" s="113"/>
      <c r="K55" s="113"/>
      <c r="L55" s="113"/>
      <c r="M55" s="113"/>
      <c r="N55" s="94"/>
    </row>
    <row r="56" spans="2:14" x14ac:dyDescent="0.25">
      <c r="B56" s="90" t="s">
        <v>168</v>
      </c>
      <c r="C56" s="82"/>
      <c r="D56" s="101" t="s">
        <v>15</v>
      </c>
      <c r="E56" s="105">
        <f>ROUND(_LabourRate*2*15/60/2.5,1)</f>
        <v>9</v>
      </c>
      <c r="F56" s="86" t="s">
        <v>169</v>
      </c>
      <c r="G56" s="90" t="s">
        <v>108</v>
      </c>
      <c r="H56" s="113"/>
      <c r="I56" s="113"/>
      <c r="J56" s="113"/>
      <c r="K56" s="113"/>
      <c r="L56" s="113"/>
      <c r="M56" s="113"/>
      <c r="N56" s="94"/>
    </row>
    <row r="57" spans="2:14" x14ac:dyDescent="0.25">
      <c r="B57" s="90" t="s">
        <v>171</v>
      </c>
      <c r="C57" s="82"/>
      <c r="D57" s="101" t="s">
        <v>15</v>
      </c>
      <c r="E57" s="105">
        <f>ROUND(_LabourRate*5/20,1)</f>
        <v>11.2</v>
      </c>
      <c r="F57" s="86" t="s">
        <v>173</v>
      </c>
      <c r="G57" s="90" t="s">
        <v>172</v>
      </c>
      <c r="H57" s="113"/>
      <c r="I57" s="113"/>
      <c r="J57" s="113"/>
      <c r="K57" s="113"/>
      <c r="L57" s="113"/>
      <c r="M57" s="113"/>
      <c r="N57" s="94"/>
    </row>
    <row r="58" spans="2:14" x14ac:dyDescent="0.25">
      <c r="B58" s="90" t="s">
        <v>174</v>
      </c>
      <c r="C58" s="82"/>
      <c r="D58" s="101" t="s">
        <v>15</v>
      </c>
      <c r="E58" s="105">
        <f>_Mix*0.3*0.075+_LabourDaily*4/70</f>
        <v>31.854857142857142</v>
      </c>
      <c r="F58" s="86" t="s">
        <v>176</v>
      </c>
      <c r="G58" s="90" t="s">
        <v>178</v>
      </c>
      <c r="H58" s="113"/>
      <c r="I58" s="113"/>
      <c r="J58" s="113"/>
      <c r="K58" s="113"/>
      <c r="L58" s="113"/>
      <c r="M58" s="113"/>
      <c r="N58" s="94"/>
    </row>
    <row r="59" spans="2:14" x14ac:dyDescent="0.25">
      <c r="B59" s="90" t="s">
        <v>175</v>
      </c>
      <c r="C59" s="82"/>
      <c r="D59" s="101" t="s">
        <v>15</v>
      </c>
      <c r="E59" s="105">
        <f>ROUND((_Excavation*0.5*0.1)+(_Mix*0.5*0.1)+_Kerb,1)</f>
        <v>59.9</v>
      </c>
      <c r="F59" s="86" t="s">
        <v>177</v>
      </c>
      <c r="G59" s="90" t="s">
        <v>179</v>
      </c>
      <c r="H59" s="113"/>
      <c r="I59" s="113"/>
      <c r="J59" s="113"/>
      <c r="K59" s="113"/>
      <c r="L59" s="113"/>
      <c r="M59" s="113"/>
      <c r="N59" s="94"/>
    </row>
    <row r="60" spans="2:14" x14ac:dyDescent="0.25">
      <c r="B60" s="90" t="s">
        <v>181</v>
      </c>
      <c r="C60" s="82"/>
      <c r="D60" s="98" t="s">
        <v>13</v>
      </c>
      <c r="E60" s="105">
        <f>ROUND(_LabourDaily,0)</f>
        <v>403</v>
      </c>
      <c r="F60" s="86" t="s">
        <v>182</v>
      </c>
      <c r="G60" s="90" t="s">
        <v>180</v>
      </c>
      <c r="H60" s="113"/>
      <c r="I60" s="113"/>
      <c r="J60" s="113"/>
      <c r="K60" s="113"/>
      <c r="L60" s="113"/>
      <c r="M60" s="113"/>
      <c r="N60" s="94"/>
    </row>
    <row r="61" spans="2:14" x14ac:dyDescent="0.25">
      <c r="B61" s="90" t="s">
        <v>183</v>
      </c>
      <c r="C61" s="82"/>
      <c r="D61" s="101" t="s">
        <v>35</v>
      </c>
      <c r="E61" s="105">
        <f>ROUND(_LabourDaily*4/8,0)</f>
        <v>202</v>
      </c>
      <c r="F61" s="86" t="s">
        <v>185</v>
      </c>
      <c r="G61" s="90" t="s">
        <v>184</v>
      </c>
      <c r="H61" s="113"/>
      <c r="I61" s="113"/>
      <c r="J61" s="113"/>
      <c r="K61" s="113"/>
      <c r="L61" s="113"/>
      <c r="M61" s="113"/>
      <c r="N61" s="94"/>
    </row>
    <row r="62" spans="2:14" x14ac:dyDescent="0.25">
      <c r="B62" s="90" t="s">
        <v>186</v>
      </c>
      <c r="C62" s="82"/>
      <c r="D62" s="101" t="s">
        <v>15</v>
      </c>
      <c r="E62" s="105">
        <f>ROUND(_LabourDaily*4/26,1)</f>
        <v>62</v>
      </c>
      <c r="F62" s="86" t="s">
        <v>188</v>
      </c>
      <c r="G62" s="90" t="s">
        <v>187</v>
      </c>
      <c r="H62" s="113"/>
      <c r="I62" s="113"/>
      <c r="J62" s="113"/>
      <c r="K62" s="113"/>
      <c r="L62" s="113"/>
      <c r="M62" s="113"/>
      <c r="N62" s="94"/>
    </row>
    <row r="63" spans="2:14" ht="13" x14ac:dyDescent="0.3">
      <c r="B63" s="90" t="s">
        <v>190</v>
      </c>
      <c r="C63" s="82"/>
      <c r="D63" s="101" t="s">
        <v>35</v>
      </c>
      <c r="E63" s="105">
        <f>ROUND(_LabourRate*4/2,0)</f>
        <v>90</v>
      </c>
      <c r="F63" s="86" t="s">
        <v>189</v>
      </c>
      <c r="G63" s="90" t="s">
        <v>191</v>
      </c>
      <c r="H63" s="113"/>
      <c r="I63" s="113"/>
      <c r="J63" s="113"/>
      <c r="K63" s="113"/>
      <c r="L63" s="113"/>
      <c r="M63" s="113"/>
      <c r="N63" s="94"/>
    </row>
    <row r="64" spans="2:14" x14ac:dyDescent="0.25">
      <c r="B64" s="90"/>
      <c r="C64" s="82"/>
      <c r="D64" s="101"/>
      <c r="E64" s="105"/>
      <c r="F64" s="86"/>
      <c r="G64" s="90"/>
      <c r="H64" s="113"/>
      <c r="I64" s="113"/>
      <c r="J64" s="113"/>
      <c r="K64" s="113"/>
      <c r="L64" s="113"/>
      <c r="M64" s="113"/>
      <c r="N64" s="94"/>
    </row>
    <row r="65" spans="2:14" x14ac:dyDescent="0.25">
      <c r="B65" s="90"/>
      <c r="C65" s="82"/>
      <c r="D65" s="98"/>
      <c r="E65" s="105"/>
      <c r="F65" s="86"/>
      <c r="G65" s="90"/>
      <c r="H65" s="113"/>
      <c r="I65" s="113"/>
      <c r="J65" s="113"/>
      <c r="K65" s="113"/>
      <c r="L65" s="113"/>
      <c r="M65" s="113"/>
      <c r="N65" s="94"/>
    </row>
    <row r="66" spans="2:14" x14ac:dyDescent="0.25">
      <c r="B66" s="90"/>
      <c r="C66" s="82"/>
      <c r="D66" s="98"/>
      <c r="E66" s="105"/>
      <c r="F66" s="86"/>
      <c r="G66" s="90"/>
      <c r="H66" s="113"/>
      <c r="I66" s="113"/>
      <c r="J66" s="113"/>
      <c r="K66" s="113"/>
      <c r="L66" s="113"/>
      <c r="M66" s="113"/>
      <c r="N66" s="94"/>
    </row>
    <row r="67" spans="2:14" x14ac:dyDescent="0.25">
      <c r="B67" s="90"/>
      <c r="C67" s="82"/>
      <c r="D67" s="98"/>
      <c r="E67" s="105"/>
      <c r="F67" s="86"/>
      <c r="G67" s="90"/>
      <c r="H67" s="113"/>
      <c r="I67" s="113"/>
      <c r="J67" s="113"/>
      <c r="K67" s="113"/>
      <c r="L67" s="113"/>
      <c r="M67" s="113"/>
      <c r="N67" s="94"/>
    </row>
    <row r="68" spans="2:14" x14ac:dyDescent="0.25">
      <c r="B68" s="91"/>
      <c r="C68" s="84"/>
      <c r="D68" s="99"/>
      <c r="E68" s="106"/>
      <c r="F68" s="88"/>
      <c r="G68" s="119"/>
      <c r="H68" s="116"/>
      <c r="I68" s="116"/>
      <c r="J68" s="116"/>
      <c r="K68" s="116"/>
      <c r="L68" s="116"/>
      <c r="M68" s="116"/>
      <c r="N68" s="117"/>
    </row>
    <row r="69" spans="2:14" x14ac:dyDescent="0.25">
      <c r="B69" s="81"/>
      <c r="C69" s="81"/>
      <c r="D69" s="81"/>
      <c r="E69" s="81"/>
      <c r="F69" s="81"/>
      <c r="G69" s="81"/>
      <c r="H69" s="81"/>
      <c r="I69" s="81"/>
      <c r="J69" s="81"/>
      <c r="K69" s="81"/>
      <c r="L69" s="81"/>
      <c r="M69" s="81"/>
    </row>
    <row r="73" spans="2:14" x14ac:dyDescent="0.25">
      <c r="G73" t="s">
        <v>165</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xdr:col>
                    <xdr:colOff>1079500</xdr:colOff>
                    <xdr:row>6</xdr:row>
                    <xdr:rowOff>127000</xdr:rowOff>
                  </from>
                  <to>
                    <xdr:col>3</xdr:col>
                    <xdr:colOff>533400</xdr:colOff>
                    <xdr:row>8</xdr:row>
                    <xdr:rowOff>50800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9EBE-9C15-440E-92D2-CD212C435B29}">
  <sheetPr codeName="Sheet8">
    <tabColor theme="9" tint="0.59999389629810485"/>
  </sheetPr>
  <dimension ref="A1:AO30"/>
  <sheetViews>
    <sheetView showGridLines="0" view="pageBreakPreview" zoomScaleSheetLayoutView="100" workbookViewId="0">
      <pane xSplit="5" ySplit="2" topLeftCell="F3" activePane="bottomRight" state="frozen"/>
      <selection activeCell="F47" sqref="F47"/>
      <selection pane="topRight" activeCell="F47" sqref="F47"/>
      <selection pane="bottomLeft" activeCell="F47" sqref="F47"/>
      <selection pane="bottomRight" activeCell="J7" sqref="J7"/>
    </sheetView>
  </sheetViews>
  <sheetFormatPr defaultColWidth="8.81640625" defaultRowHeight="12" customHeight="1" x14ac:dyDescent="0.25"/>
  <cols>
    <col min="1" max="1" width="1.1796875" style="53" customWidth="1"/>
    <col min="2" max="2" width="7.453125" style="376" customWidth="1"/>
    <col min="3" max="3" width="41.1796875" style="377" customWidth="1"/>
    <col min="4" max="4" width="9" style="378" customWidth="1"/>
    <col min="5" max="5" width="4.453125" style="378" customWidth="1"/>
    <col min="6" max="6" width="12.54296875" style="378" customWidth="1"/>
    <col min="7" max="7" width="12.1796875" style="53" customWidth="1"/>
    <col min="8" max="8" width="16.6328125" style="53" customWidth="1"/>
    <col min="9" max="9" width="1.1796875" style="53" customWidth="1"/>
    <col min="10" max="10" width="13.54296875" style="57" customWidth="1"/>
    <col min="11" max="12" width="14.1796875" style="57" customWidth="1"/>
    <col min="13" max="13" width="14.1796875" style="23" customWidth="1"/>
    <col min="14" max="14" width="7.453125" style="25" customWidth="1"/>
    <col min="15" max="15" width="11.54296875" style="25" customWidth="1"/>
    <col min="16" max="16" width="7.453125" style="25" customWidth="1"/>
    <col min="17" max="17" width="14.453125" style="25" customWidth="1"/>
    <col min="18" max="18" width="11.453125" style="25" bestFit="1" customWidth="1"/>
    <col min="19" max="19" width="5.453125" style="53" customWidth="1"/>
    <col min="20" max="16384" width="8.81640625" style="53"/>
  </cols>
  <sheetData>
    <row r="1" spans="1:41" ht="12" customHeight="1" x14ac:dyDescent="0.25">
      <c r="B1" s="54"/>
      <c r="C1" s="24" t="s">
        <v>61</v>
      </c>
      <c r="D1" s="25"/>
      <c r="E1" s="25"/>
      <c r="F1" s="26" t="s">
        <v>93</v>
      </c>
      <c r="G1" s="24">
        <v>1</v>
      </c>
      <c r="H1" s="55">
        <f>MAX(H2:H53)</f>
        <v>0</v>
      </c>
    </row>
    <row r="2" spans="1:41" ht="12" customHeight="1" x14ac:dyDescent="0.25">
      <c r="A2" s="23"/>
      <c r="B2" s="145"/>
      <c r="C2" s="61"/>
      <c r="D2" s="61"/>
      <c r="E2" s="61"/>
      <c r="F2" s="61"/>
      <c r="G2" s="61"/>
      <c r="H2" s="61"/>
      <c r="I2" s="26"/>
      <c r="J2" s="159"/>
      <c r="K2" s="159"/>
      <c r="L2" s="159"/>
      <c r="M2" s="159"/>
    </row>
    <row r="3" spans="1:41" s="23" customFormat="1" ht="11.5" x14ac:dyDescent="0.25">
      <c r="B3" s="309" t="str">
        <f>_Client1</f>
        <v>Province of KwaZulu-Natal</v>
      </c>
      <c r="C3" s="24"/>
      <c r="D3" s="25"/>
      <c r="F3" s="753" t="str">
        <f>"Contract No. "&amp;_ContractNo</f>
        <v>Contract No. ZNB02642/00000/00/HOD/INF/25/T</v>
      </c>
      <c r="G3" s="753"/>
      <c r="H3" s="753"/>
      <c r="J3" s="57"/>
      <c r="K3" s="57"/>
      <c r="L3" s="57"/>
      <c r="O3" s="25"/>
    </row>
    <row r="4" spans="1:41" s="23" customFormat="1" ht="11.5" x14ac:dyDescent="0.25">
      <c r="B4" s="310" t="str">
        <f>_Client2</f>
        <v>Department of Transport</v>
      </c>
      <c r="C4" s="24"/>
      <c r="D4" s="25"/>
      <c r="E4" s="25"/>
      <c r="F4" s="25"/>
      <c r="G4" s="25"/>
      <c r="H4" s="25"/>
      <c r="J4" s="57"/>
      <c r="K4" s="57"/>
      <c r="L4" s="57"/>
      <c r="N4" s="26"/>
      <c r="O4" s="25"/>
    </row>
    <row r="5" spans="1:41" ht="11.5" x14ac:dyDescent="0.25"/>
    <row r="6" spans="1:41" s="23" customFormat="1" ht="11.5" x14ac:dyDescent="0.25">
      <c r="B6" s="381" t="s">
        <v>21</v>
      </c>
      <c r="C6" s="58"/>
      <c r="D6" s="59"/>
      <c r="E6" s="59"/>
      <c r="F6" s="751" t="str">
        <f>"SECTION "&amp;B11</f>
        <v>SECTION C5.3</v>
      </c>
      <c r="G6" s="751"/>
      <c r="H6" s="752"/>
      <c r="I6" s="494"/>
      <c r="J6" s="160"/>
      <c r="K6" s="160"/>
      <c r="L6" s="160"/>
      <c r="M6" s="35"/>
      <c r="N6" s="25"/>
      <c r="O6" s="25"/>
      <c r="P6" s="25"/>
      <c r="Q6" s="25"/>
      <c r="R6" s="25"/>
    </row>
    <row r="7" spans="1:41" ht="24.6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495"/>
      <c r="J7" s="161"/>
      <c r="K7" s="161"/>
      <c r="L7" s="161"/>
      <c r="M7" s="162"/>
      <c r="S7" s="23"/>
      <c r="T7" s="23"/>
      <c r="U7" s="23"/>
      <c r="V7" s="23"/>
    </row>
    <row r="8" spans="1:41" ht="8.15" customHeight="1" x14ac:dyDescent="0.25">
      <c r="B8" s="496"/>
      <c r="C8" s="497"/>
      <c r="D8" s="497"/>
      <c r="E8" s="497"/>
      <c r="F8" s="497"/>
      <c r="G8" s="497"/>
      <c r="H8" s="498"/>
      <c r="I8" s="495"/>
      <c r="J8" s="161"/>
      <c r="K8" s="161"/>
      <c r="L8" s="161"/>
      <c r="M8" s="162"/>
      <c r="S8" s="23"/>
      <c r="T8" s="23"/>
      <c r="U8" s="23"/>
      <c r="V8" s="23"/>
    </row>
    <row r="9" spans="1:41" s="390" customFormat="1" ht="20.149999999999999" customHeight="1" x14ac:dyDescent="0.25">
      <c r="B9" s="499" t="s">
        <v>0</v>
      </c>
      <c r="C9" s="500" t="s">
        <v>1</v>
      </c>
      <c r="D9" s="500" t="s">
        <v>2</v>
      </c>
      <c r="E9" s="500" t="s">
        <v>30</v>
      </c>
      <c r="F9" s="500" t="s">
        <v>3</v>
      </c>
      <c r="G9" s="500" t="s">
        <v>4</v>
      </c>
      <c r="H9" s="500" t="s">
        <v>5</v>
      </c>
      <c r="I9" s="10"/>
      <c r="J9" s="159"/>
      <c r="K9" s="159"/>
      <c r="L9" s="159"/>
      <c r="M9" s="10"/>
      <c r="N9" s="25"/>
      <c r="O9" s="25"/>
      <c r="P9" s="25"/>
      <c r="Q9" s="25"/>
      <c r="R9" s="25"/>
      <c r="S9" s="23"/>
      <c r="T9" s="23"/>
      <c r="U9" s="23"/>
      <c r="V9" s="23"/>
    </row>
    <row r="10" spans="1:41" ht="11.5" x14ac:dyDescent="0.25">
      <c r="B10" s="7"/>
      <c r="C10" s="352"/>
      <c r="D10" s="1"/>
      <c r="E10" s="1"/>
      <c r="F10" s="70"/>
      <c r="G10" s="501"/>
      <c r="H10" s="501" t="str">
        <f t="shared" ref="H10:H26" si="0">IF(D10="","",F10*G10)</f>
        <v/>
      </c>
      <c r="I10" s="476"/>
      <c r="J10" s="217"/>
      <c r="K10" s="218"/>
      <c r="L10" s="219"/>
      <c r="M10" s="220"/>
      <c r="S10" s="23"/>
      <c r="T10" s="23"/>
      <c r="U10" s="23"/>
      <c r="V10" s="23"/>
    </row>
    <row r="11" spans="1:41" ht="12.5" x14ac:dyDescent="0.25">
      <c r="B11" s="421" t="s">
        <v>444</v>
      </c>
      <c r="C11" s="398" t="s">
        <v>445</v>
      </c>
      <c r="D11" s="1"/>
      <c r="E11" s="1"/>
      <c r="F11" s="70"/>
      <c r="G11" s="501"/>
      <c r="H11" s="501" t="str">
        <f t="shared" si="0"/>
        <v/>
      </c>
      <c r="I11" s="476"/>
      <c r="J11" s="217"/>
      <c r="K11" s="218"/>
      <c r="L11" s="219"/>
      <c r="M11" s="220"/>
      <c r="S11" s="23"/>
      <c r="T11" s="23"/>
      <c r="U11" s="23"/>
      <c r="V11" s="23"/>
      <c r="W11" s="502"/>
      <c r="X11" s="502"/>
      <c r="Y11" s="502"/>
      <c r="Z11" s="502"/>
      <c r="AA11" s="502"/>
      <c r="AB11" s="502"/>
      <c r="AC11" s="502"/>
      <c r="AD11" s="502"/>
      <c r="AE11" s="502"/>
      <c r="AF11" s="502"/>
      <c r="AG11" s="502"/>
      <c r="AH11" s="502"/>
      <c r="AI11" s="502"/>
      <c r="AJ11" s="502"/>
      <c r="AK11" s="502"/>
      <c r="AL11" s="502"/>
      <c r="AM11" s="502"/>
      <c r="AN11" s="502"/>
      <c r="AO11" s="502"/>
    </row>
    <row r="12" spans="1:41" ht="12.5" x14ac:dyDescent="0.25">
      <c r="B12" s="7"/>
      <c r="C12" s="352"/>
      <c r="D12" s="3"/>
      <c r="E12" s="3"/>
      <c r="F12" s="128"/>
      <c r="G12" s="509"/>
      <c r="H12" s="509" t="str">
        <f t="shared" si="0"/>
        <v/>
      </c>
      <c r="I12" s="476"/>
      <c r="J12" s="217"/>
      <c r="K12" s="218"/>
      <c r="L12" s="219"/>
      <c r="M12" s="220"/>
      <c r="S12" s="23"/>
      <c r="T12" s="23"/>
      <c r="U12" s="23"/>
      <c r="V12" s="23"/>
      <c r="W12" s="502"/>
      <c r="X12" s="502"/>
      <c r="Y12" s="502"/>
      <c r="Z12" s="502"/>
      <c r="AA12" s="502"/>
      <c r="AB12" s="502"/>
      <c r="AC12" s="502"/>
      <c r="AD12" s="502"/>
      <c r="AE12" s="502"/>
      <c r="AF12" s="502"/>
      <c r="AG12" s="502"/>
      <c r="AH12" s="502"/>
      <c r="AI12" s="502"/>
      <c r="AJ12" s="502"/>
      <c r="AK12" s="502"/>
      <c r="AL12" s="502"/>
      <c r="AM12" s="502"/>
      <c r="AN12" s="502"/>
      <c r="AO12" s="502"/>
    </row>
    <row r="13" spans="1:41" ht="23" x14ac:dyDescent="0.25">
      <c r="B13" s="7" t="s">
        <v>446</v>
      </c>
      <c r="C13" s="352" t="s">
        <v>447</v>
      </c>
      <c r="D13" s="3" t="s">
        <v>10</v>
      </c>
      <c r="E13" s="3"/>
      <c r="F13" s="128">
        <v>1</v>
      </c>
      <c r="G13" s="171">
        <v>0</v>
      </c>
      <c r="H13" s="237">
        <f>IF(D13="","",F13*G13)</f>
        <v>0</v>
      </c>
      <c r="I13" s="476"/>
      <c r="J13" s="217"/>
      <c r="K13" s="218"/>
      <c r="L13" s="219"/>
      <c r="M13" s="220"/>
      <c r="P13" s="503"/>
      <c r="Q13" s="503"/>
      <c r="R13" s="503"/>
      <c r="S13" s="503"/>
      <c r="T13" s="503"/>
      <c r="U13" s="503"/>
      <c r="V13" s="503"/>
      <c r="W13" s="502"/>
      <c r="X13" s="502"/>
      <c r="Y13" s="502"/>
      <c r="Z13" s="502"/>
      <c r="AA13" s="502"/>
      <c r="AB13" s="502"/>
      <c r="AC13" s="502"/>
      <c r="AD13" s="502"/>
      <c r="AE13" s="502"/>
      <c r="AF13" s="502"/>
      <c r="AG13" s="502"/>
      <c r="AH13" s="502"/>
      <c r="AI13" s="502"/>
      <c r="AJ13" s="502"/>
      <c r="AK13" s="502"/>
      <c r="AL13" s="502"/>
      <c r="AM13" s="502"/>
      <c r="AN13" s="502"/>
      <c r="AO13" s="502"/>
    </row>
    <row r="14" spans="1:41" ht="12.5" x14ac:dyDescent="0.25">
      <c r="B14" s="504"/>
      <c r="C14" s="352"/>
      <c r="D14" s="3"/>
      <c r="E14" s="3"/>
      <c r="F14" s="128"/>
      <c r="G14" s="509"/>
      <c r="H14" s="523"/>
      <c r="I14" s="476"/>
      <c r="J14" s="217"/>
      <c r="K14" s="218"/>
      <c r="L14" s="219"/>
      <c r="M14" s="220"/>
      <c r="P14" s="503"/>
      <c r="Q14" s="503"/>
      <c r="R14" s="503"/>
      <c r="S14" s="503"/>
      <c r="T14" s="503"/>
      <c r="U14" s="503"/>
      <c r="V14" s="503"/>
      <c r="W14" s="502"/>
      <c r="X14" s="502"/>
      <c r="Y14" s="502"/>
      <c r="Z14" s="502"/>
      <c r="AA14" s="502"/>
      <c r="AB14" s="502"/>
      <c r="AC14" s="502"/>
      <c r="AD14" s="502"/>
      <c r="AE14" s="502"/>
      <c r="AF14" s="502"/>
      <c r="AG14" s="502"/>
      <c r="AH14" s="502"/>
      <c r="AI14" s="502"/>
      <c r="AJ14" s="502"/>
      <c r="AK14" s="502"/>
      <c r="AL14" s="502"/>
      <c r="AM14" s="502"/>
      <c r="AN14" s="502"/>
      <c r="AO14" s="502"/>
    </row>
    <row r="15" spans="1:41" ht="12.5" x14ac:dyDescent="0.25">
      <c r="B15" s="504"/>
      <c r="C15" s="352"/>
      <c r="D15" s="3"/>
      <c r="E15" s="3"/>
      <c r="F15" s="128"/>
      <c r="G15" s="509"/>
      <c r="H15" s="509"/>
      <c r="I15" s="476"/>
      <c r="J15" s="217"/>
      <c r="K15" s="218"/>
      <c r="L15" s="219"/>
      <c r="M15" s="220"/>
      <c r="P15" s="503"/>
      <c r="Q15" s="503"/>
      <c r="R15" s="503"/>
      <c r="S15" s="503"/>
      <c r="T15" s="503"/>
      <c r="U15" s="503"/>
      <c r="V15" s="503"/>
      <c r="W15" s="502"/>
      <c r="X15" s="502"/>
      <c r="Y15" s="502"/>
      <c r="Z15" s="502"/>
      <c r="AA15" s="502"/>
      <c r="AB15" s="502"/>
      <c r="AC15" s="502"/>
      <c r="AD15" s="502"/>
      <c r="AE15" s="502"/>
      <c r="AF15" s="502"/>
      <c r="AG15" s="502"/>
      <c r="AH15" s="502"/>
      <c r="AI15" s="502"/>
      <c r="AJ15" s="502"/>
      <c r="AK15" s="502"/>
      <c r="AL15" s="502"/>
      <c r="AM15" s="502"/>
      <c r="AN15" s="502"/>
      <c r="AO15" s="502"/>
    </row>
    <row r="16" spans="1:41" ht="12.5" x14ac:dyDescent="0.25">
      <c r="B16" s="7" t="s">
        <v>448</v>
      </c>
      <c r="C16" s="352" t="s">
        <v>449</v>
      </c>
      <c r="D16" s="3"/>
      <c r="E16" s="508"/>
      <c r="F16" s="128"/>
      <c r="G16" s="509"/>
      <c r="H16" s="523"/>
      <c r="I16" s="401"/>
      <c r="J16" s="360"/>
      <c r="K16" s="218"/>
      <c r="L16" s="219"/>
      <c r="M16" s="220"/>
      <c r="W16" s="502"/>
      <c r="X16" s="502"/>
      <c r="Y16" s="502"/>
      <c r="Z16" s="502"/>
      <c r="AA16" s="502"/>
      <c r="AB16" s="502"/>
      <c r="AC16" s="502"/>
      <c r="AD16" s="502"/>
      <c r="AE16" s="502"/>
      <c r="AF16" s="502"/>
      <c r="AG16" s="502"/>
      <c r="AH16" s="502"/>
      <c r="AI16" s="502"/>
      <c r="AJ16" s="502"/>
      <c r="AK16" s="502"/>
      <c r="AL16" s="502"/>
      <c r="AM16" s="502"/>
      <c r="AN16" s="502"/>
      <c r="AO16" s="502"/>
    </row>
    <row r="17" spans="1:41" ht="12.5" x14ac:dyDescent="0.25">
      <c r="B17" s="7"/>
      <c r="C17" s="352"/>
      <c r="D17" s="3"/>
      <c r="E17" s="508"/>
      <c r="F17" s="128"/>
      <c r="G17" s="509"/>
      <c r="H17" s="523"/>
      <c r="I17" s="401"/>
      <c r="J17" s="360"/>
      <c r="K17" s="218"/>
      <c r="L17" s="219"/>
      <c r="M17" s="220"/>
      <c r="W17" s="502"/>
      <c r="X17" s="502"/>
      <c r="Y17" s="502"/>
      <c r="Z17" s="502"/>
      <c r="AA17" s="502"/>
      <c r="AB17" s="502"/>
      <c r="AC17" s="502"/>
      <c r="AD17" s="502"/>
      <c r="AE17" s="502"/>
      <c r="AF17" s="502"/>
      <c r="AG17" s="502"/>
      <c r="AH17" s="502"/>
      <c r="AI17" s="502"/>
      <c r="AJ17" s="502"/>
      <c r="AK17" s="502"/>
      <c r="AL17" s="502"/>
      <c r="AM17" s="502"/>
      <c r="AN17" s="502"/>
      <c r="AO17" s="502"/>
    </row>
    <row r="18" spans="1:41" ht="12.75" customHeight="1" x14ac:dyDescent="0.25">
      <c r="B18" s="7" t="s">
        <v>450</v>
      </c>
      <c r="C18" s="352" t="s">
        <v>451</v>
      </c>
      <c r="D18" s="3"/>
      <c r="E18" s="3"/>
      <c r="F18" s="128"/>
      <c r="G18" s="509"/>
      <c r="H18" s="523"/>
      <c r="I18" s="401"/>
      <c r="J18" s="360"/>
      <c r="K18" s="218"/>
      <c r="L18" s="219"/>
      <c r="M18" s="220"/>
      <c r="P18" s="511"/>
      <c r="Q18" s="512"/>
      <c r="R18" s="511"/>
      <c r="S18" s="511"/>
      <c r="T18" s="528"/>
      <c r="U18" s="514"/>
      <c r="V18" s="312"/>
      <c r="W18" s="502"/>
      <c r="X18" s="502"/>
      <c r="Y18" s="502"/>
      <c r="Z18" s="502"/>
      <c r="AA18" s="502"/>
      <c r="AB18" s="502"/>
      <c r="AC18" s="502"/>
      <c r="AD18" s="502"/>
      <c r="AE18" s="502"/>
      <c r="AF18" s="502"/>
      <c r="AG18" s="502"/>
      <c r="AH18" s="502"/>
      <c r="AI18" s="502"/>
      <c r="AJ18" s="502"/>
      <c r="AK18" s="502"/>
      <c r="AL18" s="502"/>
      <c r="AM18" s="502"/>
      <c r="AN18" s="502"/>
      <c r="AO18" s="502"/>
    </row>
    <row r="19" spans="1:41" ht="14.5" x14ac:dyDescent="0.25">
      <c r="B19" s="7"/>
      <c r="C19" s="352"/>
      <c r="D19" s="3"/>
      <c r="E19" s="3"/>
      <c r="F19" s="128"/>
      <c r="G19" s="509"/>
      <c r="H19" s="509" t="str">
        <f t="shared" si="0"/>
        <v/>
      </c>
      <c r="I19" s="476"/>
      <c r="J19" s="217"/>
      <c r="K19" s="218"/>
      <c r="L19" s="219"/>
      <c r="M19" s="220"/>
      <c r="P19" s="502"/>
      <c r="Q19" s="502"/>
      <c r="R19" s="502"/>
      <c r="S19" s="502"/>
      <c r="T19" s="502"/>
      <c r="U19" s="502"/>
      <c r="V19" s="502"/>
      <c r="W19" s="502"/>
      <c r="X19" s="502"/>
      <c r="Y19" s="502"/>
      <c r="Z19" s="502"/>
      <c r="AA19" s="502"/>
      <c r="AB19" s="502"/>
      <c r="AC19" s="502"/>
      <c r="AD19" s="515" t="s">
        <v>33</v>
      </c>
      <c r="AE19" s="516" t="s">
        <v>31</v>
      </c>
      <c r="AF19" s="514"/>
      <c r="AG19" s="516" t="s">
        <v>32</v>
      </c>
      <c r="AH19" s="514"/>
      <c r="AI19" s="516" t="s">
        <v>78</v>
      </c>
      <c r="AJ19" s="516"/>
      <c r="AK19" s="516" t="s">
        <v>79</v>
      </c>
      <c r="AL19" s="502"/>
      <c r="AM19" s="502"/>
      <c r="AN19" s="502"/>
      <c r="AO19" s="502"/>
    </row>
    <row r="20" spans="1:41" ht="23" x14ac:dyDescent="0.25">
      <c r="B20" s="7"/>
      <c r="C20" s="352" t="s">
        <v>559</v>
      </c>
      <c r="D20" s="3" t="s">
        <v>72</v>
      </c>
      <c r="E20" s="3" t="s">
        <v>30</v>
      </c>
      <c r="F20" s="128">
        <v>14145</v>
      </c>
      <c r="G20" s="171">
        <v>0</v>
      </c>
      <c r="H20" s="237">
        <f>IF(D20="","",F20*G20)</f>
        <v>0</v>
      </c>
      <c r="I20" s="532"/>
      <c r="J20" s="278"/>
      <c r="K20" s="279"/>
      <c r="L20" s="280"/>
      <c r="M20" s="220"/>
      <c r="P20" s="502"/>
      <c r="Q20" s="312"/>
      <c r="R20" s="312"/>
      <c r="S20" s="529"/>
      <c r="T20" s="511"/>
      <c r="U20" s="312"/>
      <c r="V20" s="511"/>
      <c r="W20" s="502"/>
      <c r="X20" s="502"/>
      <c r="Y20" s="502"/>
      <c r="Z20" s="502"/>
      <c r="AA20" s="502"/>
      <c r="AB20" s="502"/>
      <c r="AC20" s="502"/>
      <c r="AD20" s="530"/>
      <c r="AE20" s="530"/>
      <c r="AF20" s="530"/>
      <c r="AG20" s="530"/>
      <c r="AH20" s="530"/>
      <c r="AI20" s="530"/>
      <c r="AJ20" s="530"/>
      <c r="AK20" s="530"/>
      <c r="AL20" s="530"/>
      <c r="AM20" s="502"/>
      <c r="AN20" s="502"/>
      <c r="AO20" s="502"/>
    </row>
    <row r="21" spans="1:41" ht="12.5" x14ac:dyDescent="0.25">
      <c r="B21" s="504"/>
      <c r="C21" s="430"/>
      <c r="D21" s="3"/>
      <c r="E21" s="3"/>
      <c r="F21" s="128"/>
      <c r="G21" s="509"/>
      <c r="H21" s="523" t="str">
        <f t="shared" si="0"/>
        <v/>
      </c>
      <c r="I21" s="401"/>
      <c r="J21" s="278"/>
      <c r="K21" s="279"/>
      <c r="L21" s="280"/>
      <c r="M21" s="220"/>
      <c r="P21" s="502"/>
      <c r="Q21" s="312"/>
      <c r="R21" s="511"/>
      <c r="S21" s="511"/>
      <c r="T21" s="511"/>
      <c r="U21" s="511"/>
      <c r="V21" s="511"/>
      <c r="W21" s="502"/>
      <c r="X21" s="502"/>
      <c r="Y21" s="502"/>
      <c r="Z21" s="502"/>
      <c r="AA21" s="502"/>
      <c r="AB21" s="502"/>
      <c r="AC21" s="502"/>
      <c r="AD21" s="533"/>
      <c r="AE21" s="533"/>
      <c r="AF21" s="533" t="s">
        <v>80</v>
      </c>
      <c r="AG21" s="533" t="s">
        <v>81</v>
      </c>
      <c r="AH21" s="533" t="s">
        <v>82</v>
      </c>
      <c r="AI21" s="533"/>
      <c r="AJ21" s="533"/>
      <c r="AK21" s="533"/>
      <c r="AL21" s="530"/>
      <c r="AM21" s="502"/>
      <c r="AN21" s="502"/>
      <c r="AO21" s="502"/>
    </row>
    <row r="22" spans="1:41" ht="22.5" customHeight="1" x14ac:dyDescent="0.25">
      <c r="B22" s="7"/>
      <c r="C22" s="352" t="s">
        <v>558</v>
      </c>
      <c r="D22" s="3" t="s">
        <v>72</v>
      </c>
      <c r="E22" s="3"/>
      <c r="F22" s="128">
        <v>11504</v>
      </c>
      <c r="G22" s="171">
        <v>0</v>
      </c>
      <c r="H22" s="237">
        <f>IF(D22="","",F22*G22)</f>
        <v>0</v>
      </c>
      <c r="I22" s="401"/>
      <c r="J22" s="278"/>
      <c r="K22" s="279"/>
      <c r="L22" s="280"/>
      <c r="M22" s="220"/>
      <c r="P22" s="502"/>
      <c r="Q22" s="312"/>
      <c r="R22" s="511"/>
      <c r="S22" s="511"/>
      <c r="T22" s="511"/>
      <c r="U22" s="511"/>
      <c r="V22" s="511"/>
      <c r="W22" s="502"/>
      <c r="X22" s="502"/>
      <c r="Y22" s="502"/>
      <c r="Z22" s="502"/>
      <c r="AA22" s="502"/>
      <c r="AB22" s="502"/>
      <c r="AC22" s="502"/>
      <c r="AD22" s="534" t="e">
        <f>#REF!</f>
        <v>#REF!</v>
      </c>
      <c r="AE22" s="535"/>
      <c r="AF22" s="535">
        <v>2.2000000000000002</v>
      </c>
      <c r="AG22" s="535">
        <v>2</v>
      </c>
      <c r="AH22" s="536">
        <v>2</v>
      </c>
      <c r="AI22" s="535"/>
      <c r="AJ22" s="537" t="e">
        <f>AF22*#REF!*#REF!</f>
        <v>#REF!</v>
      </c>
      <c r="AK22" s="2" t="s">
        <v>16</v>
      </c>
      <c r="AL22" s="530"/>
      <c r="AM22" s="502"/>
      <c r="AN22" s="502"/>
      <c r="AO22" s="502"/>
    </row>
    <row r="23" spans="1:41" ht="12.5" x14ac:dyDescent="0.25">
      <c r="B23" s="7"/>
      <c r="C23" s="352"/>
      <c r="D23" s="3"/>
      <c r="E23" s="3"/>
      <c r="F23" s="128"/>
      <c r="G23" s="509"/>
      <c r="H23" s="523"/>
      <c r="I23" s="401"/>
      <c r="J23" s="278"/>
      <c r="K23" s="279"/>
      <c r="L23" s="280"/>
      <c r="M23" s="220"/>
      <c r="P23" s="502"/>
      <c r="Q23" s="312"/>
      <c r="R23" s="511"/>
      <c r="S23" s="511"/>
      <c r="T23" s="511"/>
      <c r="U23" s="511"/>
      <c r="V23" s="511"/>
      <c r="W23" s="502"/>
      <c r="X23" s="502"/>
      <c r="Y23" s="502"/>
      <c r="Z23" s="502"/>
      <c r="AA23" s="502"/>
      <c r="AB23" s="502"/>
      <c r="AC23" s="502"/>
      <c r="AD23" s="534"/>
      <c r="AE23" s="535"/>
      <c r="AF23" s="535"/>
      <c r="AG23" s="535"/>
      <c r="AH23" s="536"/>
      <c r="AI23" s="535"/>
      <c r="AJ23" s="537"/>
      <c r="AK23" s="349"/>
      <c r="AL23" s="530"/>
      <c r="AM23" s="502"/>
      <c r="AN23" s="502"/>
      <c r="AO23" s="502"/>
    </row>
    <row r="24" spans="1:41" ht="34.5" x14ac:dyDescent="0.25">
      <c r="B24" s="7"/>
      <c r="C24" s="352" t="s">
        <v>579</v>
      </c>
      <c r="D24" s="3" t="s">
        <v>72</v>
      </c>
      <c r="E24" s="3"/>
      <c r="F24" s="128">
        <v>12840</v>
      </c>
      <c r="G24" s="171">
        <v>0</v>
      </c>
      <c r="H24" s="237">
        <f>IF(D24="","",F24*G24)</f>
        <v>0</v>
      </c>
      <c r="I24" s="401"/>
      <c r="J24" s="278"/>
      <c r="K24" s="279"/>
      <c r="L24" s="280"/>
      <c r="M24" s="220"/>
      <c r="P24" s="502"/>
      <c r="Q24" s="312"/>
      <c r="R24" s="511"/>
      <c r="S24" s="511"/>
      <c r="T24" s="511"/>
      <c r="U24" s="511"/>
      <c r="V24" s="511"/>
      <c r="W24" s="502"/>
      <c r="X24" s="502"/>
      <c r="Y24" s="502"/>
      <c r="Z24" s="502"/>
      <c r="AA24" s="502"/>
      <c r="AB24" s="502"/>
      <c r="AC24" s="502"/>
      <c r="AD24" s="534"/>
      <c r="AE24" s="535"/>
      <c r="AF24" s="535"/>
      <c r="AG24" s="535"/>
      <c r="AH24" s="536"/>
      <c r="AI24" s="535"/>
      <c r="AJ24" s="537"/>
      <c r="AK24" s="349"/>
      <c r="AL24" s="530"/>
      <c r="AM24" s="502"/>
      <c r="AN24" s="502"/>
      <c r="AO24" s="502"/>
    </row>
    <row r="25" spans="1:41" ht="12.5" x14ac:dyDescent="0.25">
      <c r="B25" s="7"/>
      <c r="C25" s="352"/>
      <c r="D25" s="3"/>
      <c r="E25" s="3"/>
      <c r="F25" s="158"/>
      <c r="G25" s="509"/>
      <c r="H25" s="510"/>
      <c r="I25" s="591"/>
      <c r="J25" s="592"/>
      <c r="K25" s="593"/>
      <c r="L25" s="594"/>
      <c r="M25" s="543"/>
      <c r="P25" s="545"/>
      <c r="Q25" s="312"/>
      <c r="R25" s="503"/>
      <c r="S25" s="503"/>
      <c r="T25" s="503"/>
      <c r="U25" s="503"/>
      <c r="V25" s="503"/>
      <c r="W25" s="545"/>
      <c r="X25" s="545"/>
      <c r="Y25" s="545"/>
      <c r="Z25" s="545"/>
      <c r="AA25" s="545"/>
      <c r="AB25" s="545"/>
      <c r="AC25" s="545"/>
      <c r="AD25" s="530"/>
      <c r="AE25" s="530"/>
      <c r="AF25" s="530"/>
      <c r="AG25" s="530"/>
      <c r="AH25" s="530"/>
      <c r="AI25" s="530"/>
      <c r="AJ25" s="595" t="e">
        <f>#REF!*AH22/100</f>
        <v>#REF!</v>
      </c>
      <c r="AK25" s="530" t="s">
        <v>83</v>
      </c>
      <c r="AL25" s="530"/>
      <c r="AM25" s="545"/>
      <c r="AN25" s="545"/>
      <c r="AO25" s="545"/>
    </row>
    <row r="26" spans="1:41" s="25" customFormat="1" ht="12" customHeight="1" x14ac:dyDescent="0.25">
      <c r="A26" s="53"/>
      <c r="B26" s="7"/>
      <c r="C26" s="352"/>
      <c r="D26" s="3"/>
      <c r="E26" s="3"/>
      <c r="F26" s="128"/>
      <c r="G26" s="509"/>
      <c r="H26" s="509" t="str">
        <f t="shared" si="0"/>
        <v/>
      </c>
      <c r="I26" s="476"/>
      <c r="J26" s="217"/>
      <c r="K26" s="218"/>
      <c r="L26" s="219"/>
      <c r="M26" s="220"/>
      <c r="Q26" s="546"/>
      <c r="S26" s="53"/>
      <c r="T26" s="53"/>
      <c r="U26" s="53"/>
      <c r="V26" s="53"/>
      <c r="W26" s="53"/>
      <c r="X26" s="53"/>
      <c r="Y26" s="53"/>
    </row>
    <row r="27" spans="1:41" s="25" customFormat="1" ht="22.5" customHeight="1" x14ac:dyDescent="0.25">
      <c r="A27" s="53"/>
      <c r="B27" s="29" t="str">
        <f>B11</f>
        <v>C5.3</v>
      </c>
      <c r="C27" s="28" t="str">
        <f>"TOTAL CARRIED FORWARD"&amp;IF(H27=H$1," TO SUMMARY")</f>
        <v>TOTAL CARRIED FORWARD TO SUMMARY</v>
      </c>
      <c r="D27" s="469"/>
      <c r="E27" s="469"/>
      <c r="F27" s="470"/>
      <c r="G27" s="471"/>
      <c r="H27" s="253">
        <f>SUM(H10:H26)</f>
        <v>0</v>
      </c>
      <c r="I27" s="518"/>
      <c r="J27" s="254"/>
      <c r="K27" s="254"/>
      <c r="L27" s="255"/>
      <c r="M27" s="256"/>
      <c r="O27" s="519"/>
      <c r="Q27" s="546"/>
      <c r="S27" s="53"/>
      <c r="T27" s="53"/>
      <c r="U27" s="53"/>
      <c r="V27" s="53"/>
      <c r="W27" s="53"/>
      <c r="X27" s="53"/>
      <c r="Y27" s="53"/>
    </row>
    <row r="28" spans="1:41" ht="6" customHeight="1" x14ac:dyDescent="0.25">
      <c r="L28" s="71"/>
    </row>
    <row r="29" spans="1:41" ht="12" customHeight="1" x14ac:dyDescent="0.25">
      <c r="L29" s="71"/>
    </row>
    <row r="30" spans="1:41" ht="12" customHeight="1" x14ac:dyDescent="0.25">
      <c r="L30" s="71"/>
    </row>
  </sheetData>
  <sheetProtection algorithmName="SHA-512" hashValue="WISJ1RFeDkbGYXKtgzFitsHsgFmLE5fVLe6BhkathssMJwcv5tuhsAIFpkccJznlfxBa7F8Ja1uRI3crGtyIJg==" saltValue="u6rqCMaL0h9+Z6WGnGYrdA==" spinCount="100000" sheet="1" objects="1" scenarios="1"/>
  <mergeCells count="3">
    <mergeCell ref="F3:H3"/>
    <mergeCell ref="F6:H6"/>
    <mergeCell ref="B7:H7"/>
  </mergeCells>
  <conditionalFormatting sqref="P19:P25">
    <cfRule type="cellIs" dxfId="68" priority="12" stopIfTrue="1" operator="lessThan">
      <formula>0.005</formula>
    </cfRule>
  </conditionalFormatting>
  <pageMargins left="0.43307086614173229" right="0.31496062992125984" top="0.43307086614173229" bottom="0.62992125984251968" header="0.35433070866141736" footer="0.31496062992125984"/>
  <pageSetup paperSize="9" scale="8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60C26944-E8C5-41B9-8961-6A84A179444A}">
            <xm:f>AND(Home!$C$8=FALSE,$D10&lt;&gt;"P C Sum",$D10&lt;&gt;"PC Sum",$D10&lt;&gt;"P Sum",$D10&lt;&gt;"Prov Sum")</xm:f>
            <x14:dxf>
              <font>
                <color theme="0"/>
              </font>
            </x14:dxf>
          </x14:cfRule>
          <xm:sqref>G10:H27</xm:sqref>
        </x14:conditionalFormatting>
        <x14:conditionalFormatting xmlns:xm="http://schemas.microsoft.com/office/excel/2006/main">
          <x14:cfRule type="expression" priority="16" id="{3B216A19-DEC2-443E-8D3F-676FEB1C0F74}">
            <xm:f>AND(Home!$C$8=FALSE,#REF!&lt;&gt;"P C Sum",#REF!&lt;&gt;"PC Sum",#REF!&lt;&gt;"P Sum",#REF!&lt;&gt;"Prov Sum")</xm:f>
            <x14:dxf>
              <font>
                <color theme="0"/>
              </font>
            </x14:dxf>
          </x14:cfRule>
          <xm:sqref>K27:M27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A29F-229F-4531-B868-4BBAB3A826E7}">
  <sheetPr codeName="Sheet9">
    <tabColor theme="9" tint="0.59999389629810485"/>
  </sheetPr>
  <dimension ref="A1:AO30"/>
  <sheetViews>
    <sheetView showGridLines="0" view="pageBreakPreview" zoomScale="115" zoomScaleSheetLayoutView="115" workbookViewId="0">
      <pane xSplit="5" ySplit="2" topLeftCell="F3" activePane="bottomRight" state="frozen"/>
      <selection activeCell="F47" sqref="F47"/>
      <selection pane="topRight" activeCell="F47" sqref="F47"/>
      <selection pane="bottomLeft" activeCell="F47" sqref="F47"/>
      <selection pane="bottomRight" activeCell="J5" sqref="J5"/>
    </sheetView>
  </sheetViews>
  <sheetFormatPr defaultColWidth="8.81640625" defaultRowHeight="12" customHeight="1" x14ac:dyDescent="0.25"/>
  <cols>
    <col min="1" max="1" width="1.1796875" style="53" customWidth="1"/>
    <col min="2" max="2" width="7.453125" style="376" customWidth="1"/>
    <col min="3" max="3" width="41.1796875" style="377" customWidth="1"/>
    <col min="4" max="4" width="9" style="378" customWidth="1"/>
    <col min="5" max="5" width="4.453125" style="378" customWidth="1"/>
    <col min="6" max="6" width="13.453125" style="378" customWidth="1"/>
    <col min="7" max="7" width="12.1796875" style="53" customWidth="1"/>
    <col min="8" max="8" width="18" style="53" customWidth="1"/>
    <col min="9" max="9" width="1.1796875" style="53" customWidth="1"/>
    <col min="10" max="10" width="13.54296875" style="57" customWidth="1"/>
    <col min="11" max="12" width="14.1796875" style="57" customWidth="1"/>
    <col min="13" max="13" width="14.1796875" style="23" customWidth="1"/>
    <col min="14" max="14" width="7.453125" style="25" customWidth="1"/>
    <col min="15" max="15" width="11.54296875" style="25" customWidth="1"/>
    <col min="16" max="16" width="7.453125" style="25" customWidth="1"/>
    <col min="17" max="17" width="14.453125" style="25" customWidth="1"/>
    <col min="18" max="18" width="11.453125" style="25" bestFit="1" customWidth="1"/>
    <col min="19" max="19" width="5.453125" style="53" customWidth="1"/>
    <col min="20" max="16384" width="8.81640625" style="53"/>
  </cols>
  <sheetData>
    <row r="1" spans="1:41" ht="12" customHeight="1" x14ac:dyDescent="0.25">
      <c r="B1" s="54"/>
      <c r="C1" s="24" t="s">
        <v>61</v>
      </c>
      <c r="D1" s="25"/>
      <c r="E1" s="25"/>
      <c r="F1" s="26" t="s">
        <v>93</v>
      </c>
      <c r="G1" s="24">
        <v>1</v>
      </c>
      <c r="H1" s="55">
        <f>MAX(H2:H53)</f>
        <v>0</v>
      </c>
    </row>
    <row r="2" spans="1:41" ht="12" customHeight="1" x14ac:dyDescent="0.25">
      <c r="A2" s="23"/>
      <c r="B2" s="145"/>
      <c r="C2" s="61"/>
      <c r="D2" s="61"/>
      <c r="E2" s="61"/>
      <c r="F2" s="61"/>
      <c r="G2" s="61"/>
      <c r="H2" s="61"/>
      <c r="I2" s="26"/>
      <c r="J2" s="159"/>
      <c r="K2" s="159"/>
      <c r="L2" s="159"/>
      <c r="M2" s="159"/>
    </row>
    <row r="3" spans="1:41" s="23" customFormat="1" ht="11.5" x14ac:dyDescent="0.25">
      <c r="B3" s="309" t="str">
        <f>_Client1</f>
        <v>Province of KwaZulu-Natal</v>
      </c>
      <c r="C3" s="24"/>
      <c r="D3" s="25"/>
      <c r="F3" s="753" t="str">
        <f>"Contract No. "&amp;_ContractNo</f>
        <v>Contract No. ZNB02642/00000/00/HOD/INF/25/T</v>
      </c>
      <c r="G3" s="753"/>
      <c r="H3" s="753"/>
      <c r="J3" s="57"/>
      <c r="K3" s="57"/>
      <c r="L3" s="57"/>
      <c r="O3" s="25"/>
    </row>
    <row r="4" spans="1:41" s="23" customFormat="1" ht="11.5" x14ac:dyDescent="0.25">
      <c r="B4" s="310" t="str">
        <f>_Client2</f>
        <v>Department of Transport</v>
      </c>
      <c r="C4" s="24"/>
      <c r="D4" s="25"/>
      <c r="E4" s="25"/>
      <c r="F4" s="25"/>
      <c r="G4" s="25"/>
      <c r="H4" s="25"/>
      <c r="J4" s="57"/>
      <c r="K4" s="57"/>
      <c r="L4" s="57"/>
      <c r="N4" s="26"/>
      <c r="O4" s="25"/>
    </row>
    <row r="5" spans="1:41" ht="11.5" x14ac:dyDescent="0.25"/>
    <row r="6" spans="1:41" s="23" customFormat="1" ht="11.5" x14ac:dyDescent="0.25">
      <c r="B6" s="381" t="s">
        <v>21</v>
      </c>
      <c r="C6" s="58"/>
      <c r="D6" s="59"/>
      <c r="E6" s="59"/>
      <c r="F6" s="751" t="str">
        <f>"SECTION "&amp;B11</f>
        <v>SECTION C5.4</v>
      </c>
      <c r="G6" s="751"/>
      <c r="H6" s="752"/>
      <c r="I6" s="494"/>
      <c r="J6" s="160"/>
      <c r="K6" s="160"/>
      <c r="L6" s="160"/>
      <c r="M6" s="35"/>
      <c r="N6" s="25"/>
      <c r="O6" s="25"/>
      <c r="P6" s="25"/>
      <c r="Q6" s="25"/>
      <c r="R6" s="25"/>
    </row>
    <row r="7" spans="1:41" ht="24.2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495"/>
      <c r="J7" s="161"/>
      <c r="K7" s="161"/>
      <c r="L7" s="161"/>
      <c r="M7" s="162"/>
      <c r="S7" s="23"/>
      <c r="T7" s="23"/>
      <c r="U7" s="23"/>
      <c r="V7" s="23"/>
    </row>
    <row r="8" spans="1:41" ht="8.15" customHeight="1" x14ac:dyDescent="0.25">
      <c r="B8" s="496"/>
      <c r="C8" s="497"/>
      <c r="D8" s="497"/>
      <c r="E8" s="497"/>
      <c r="F8" s="497"/>
      <c r="G8" s="497"/>
      <c r="H8" s="498"/>
      <c r="I8" s="495"/>
      <c r="J8" s="161"/>
      <c r="K8" s="161"/>
      <c r="L8" s="161"/>
      <c r="M8" s="162"/>
      <c r="S8" s="23"/>
      <c r="T8" s="23"/>
      <c r="U8" s="23"/>
      <c r="V8" s="23"/>
    </row>
    <row r="9" spans="1:41" s="390" customFormat="1" ht="20.149999999999999" customHeight="1" x14ac:dyDescent="0.25">
      <c r="B9" s="499" t="s">
        <v>0</v>
      </c>
      <c r="C9" s="500" t="s">
        <v>1</v>
      </c>
      <c r="D9" s="500" t="s">
        <v>2</v>
      </c>
      <c r="E9" s="500" t="s">
        <v>30</v>
      </c>
      <c r="F9" s="500" t="s">
        <v>3</v>
      </c>
      <c r="G9" s="500" t="s">
        <v>4</v>
      </c>
      <c r="H9" s="500" t="s">
        <v>5</v>
      </c>
      <c r="I9" s="10"/>
      <c r="J9" s="159"/>
      <c r="K9" s="159"/>
      <c r="L9" s="159"/>
      <c r="M9" s="10"/>
      <c r="N9" s="25"/>
      <c r="O9" s="25"/>
      <c r="P9" s="25"/>
      <c r="Q9" s="25"/>
      <c r="R9" s="25"/>
      <c r="S9" s="23"/>
      <c r="T9" s="23"/>
      <c r="U9" s="23"/>
      <c r="V9" s="23"/>
    </row>
    <row r="10" spans="1:41" ht="11.5" x14ac:dyDescent="0.25">
      <c r="B10" s="7"/>
      <c r="C10" s="352"/>
      <c r="D10" s="1"/>
      <c r="E10" s="1"/>
      <c r="F10" s="70"/>
      <c r="G10" s="501"/>
      <c r="H10" s="501" t="str">
        <f t="shared" ref="H10:H20" si="0">IF(D10="","",F10*G10)</f>
        <v/>
      </c>
      <c r="I10" s="476"/>
      <c r="J10" s="217"/>
      <c r="K10" s="218"/>
      <c r="L10" s="219"/>
      <c r="M10" s="220"/>
      <c r="S10" s="23"/>
      <c r="T10" s="23"/>
      <c r="U10" s="23"/>
      <c r="V10" s="23"/>
    </row>
    <row r="11" spans="1:41" ht="12.5" x14ac:dyDescent="0.25">
      <c r="B11" s="421" t="s">
        <v>341</v>
      </c>
      <c r="C11" s="398" t="s">
        <v>342</v>
      </c>
      <c r="D11" s="1"/>
      <c r="E11" s="1"/>
      <c r="F11" s="70"/>
      <c r="G11" s="501"/>
      <c r="H11" s="501" t="str">
        <f t="shared" si="0"/>
        <v/>
      </c>
      <c r="I11" s="476"/>
      <c r="J11" s="217"/>
      <c r="K11" s="218"/>
      <c r="L11" s="219"/>
      <c r="M11" s="220"/>
      <c r="S11" s="23"/>
      <c r="T11" s="23"/>
      <c r="U11" s="23"/>
      <c r="V11" s="23"/>
      <c r="W11" s="502"/>
      <c r="X11" s="502"/>
      <c r="Y11" s="502"/>
      <c r="Z11" s="502"/>
      <c r="AA11" s="502"/>
      <c r="AB11" s="502"/>
      <c r="AC11" s="502"/>
      <c r="AD11" s="502"/>
      <c r="AE11" s="502"/>
      <c r="AF11" s="502"/>
      <c r="AG11" s="502"/>
      <c r="AH11" s="502"/>
      <c r="AI11" s="502"/>
      <c r="AJ11" s="502"/>
      <c r="AK11" s="502"/>
      <c r="AL11" s="502"/>
      <c r="AM11" s="502"/>
      <c r="AN11" s="502"/>
      <c r="AO11" s="502"/>
    </row>
    <row r="12" spans="1:41" ht="12.5" x14ac:dyDescent="0.25">
      <c r="B12" s="421"/>
      <c r="C12" s="398"/>
      <c r="D12" s="1"/>
      <c r="E12" s="1"/>
      <c r="F12" s="70"/>
      <c r="G12" s="501"/>
      <c r="H12" s="501"/>
      <c r="I12" s="476"/>
      <c r="J12" s="217"/>
      <c r="K12" s="218"/>
      <c r="L12" s="219"/>
      <c r="M12" s="220"/>
      <c r="S12" s="23"/>
      <c r="T12" s="23"/>
      <c r="U12" s="23"/>
      <c r="V12" s="23"/>
      <c r="W12" s="502"/>
      <c r="X12" s="502"/>
      <c r="Y12" s="502"/>
      <c r="Z12" s="502"/>
      <c r="AA12" s="502"/>
      <c r="AB12" s="502"/>
      <c r="AC12" s="502"/>
      <c r="AD12" s="502"/>
      <c r="AE12" s="502"/>
      <c r="AF12" s="502"/>
      <c r="AG12" s="502"/>
      <c r="AH12" s="502"/>
      <c r="AI12" s="502"/>
      <c r="AJ12" s="502"/>
      <c r="AK12" s="502"/>
      <c r="AL12" s="502"/>
      <c r="AM12" s="502"/>
      <c r="AN12" s="502"/>
      <c r="AO12" s="502"/>
    </row>
    <row r="13" spans="1:41" ht="12.5" x14ac:dyDescent="0.25">
      <c r="B13" s="7" t="s">
        <v>529</v>
      </c>
      <c r="C13" s="352" t="s">
        <v>530</v>
      </c>
      <c r="D13" s="1"/>
      <c r="E13" s="1"/>
      <c r="F13" s="70"/>
      <c r="G13" s="501"/>
      <c r="H13" s="501"/>
      <c r="I13" s="476"/>
      <c r="J13" s="217"/>
      <c r="K13" s="218"/>
      <c r="L13" s="219"/>
      <c r="M13" s="220"/>
      <c r="S13" s="23"/>
      <c r="T13" s="23"/>
      <c r="U13" s="23"/>
      <c r="V13" s="23"/>
      <c r="W13" s="502"/>
      <c r="X13" s="502"/>
      <c r="Y13" s="502"/>
      <c r="Z13" s="502"/>
      <c r="AA13" s="502"/>
      <c r="AB13" s="502"/>
      <c r="AC13" s="502"/>
      <c r="AD13" s="502"/>
      <c r="AE13" s="502"/>
      <c r="AF13" s="502"/>
      <c r="AG13" s="502"/>
      <c r="AH13" s="502"/>
      <c r="AI13" s="502"/>
      <c r="AJ13" s="502"/>
      <c r="AK13" s="502"/>
      <c r="AL13" s="502"/>
      <c r="AM13" s="502"/>
      <c r="AN13" s="502"/>
      <c r="AO13" s="502"/>
    </row>
    <row r="14" spans="1:41" ht="12.5" x14ac:dyDescent="0.25">
      <c r="B14" s="7"/>
      <c r="C14" s="352"/>
      <c r="D14" s="1"/>
      <c r="E14" s="1"/>
      <c r="F14" s="70"/>
      <c r="G14" s="501"/>
      <c r="H14" s="501" t="str">
        <f t="shared" si="0"/>
        <v/>
      </c>
      <c r="I14" s="476"/>
      <c r="J14" s="217"/>
      <c r="K14" s="218"/>
      <c r="L14" s="219"/>
      <c r="M14" s="220"/>
      <c r="S14" s="23"/>
      <c r="T14" s="23"/>
      <c r="U14" s="23"/>
      <c r="V14" s="23"/>
      <c r="W14" s="502"/>
      <c r="X14" s="502"/>
      <c r="Y14" s="502"/>
      <c r="Z14" s="502"/>
      <c r="AA14" s="502"/>
      <c r="AB14" s="502"/>
      <c r="AC14" s="502"/>
      <c r="AD14" s="502"/>
      <c r="AE14" s="502"/>
      <c r="AF14" s="502"/>
      <c r="AG14" s="502"/>
      <c r="AH14" s="502"/>
      <c r="AI14" s="502"/>
      <c r="AJ14" s="502"/>
      <c r="AK14" s="502"/>
      <c r="AL14" s="502"/>
      <c r="AM14" s="502"/>
      <c r="AN14" s="502"/>
      <c r="AO14" s="502"/>
    </row>
    <row r="15" spans="1:41" ht="23" x14ac:dyDescent="0.25">
      <c r="B15" s="7" t="s">
        <v>343</v>
      </c>
      <c r="C15" s="352" t="s">
        <v>580</v>
      </c>
      <c r="D15" s="3" t="s">
        <v>13</v>
      </c>
      <c r="E15" s="3"/>
      <c r="F15" s="128">
        <v>14145</v>
      </c>
      <c r="G15" s="171">
        <v>0</v>
      </c>
      <c r="H15" s="237">
        <f>IF(D15="","",F15*G15)</f>
        <v>0</v>
      </c>
      <c r="I15" s="476"/>
      <c r="J15" s="520"/>
      <c r="K15" s="521"/>
      <c r="L15" s="522"/>
      <c r="M15" s="220"/>
      <c r="P15" s="503"/>
      <c r="Q15" s="503"/>
      <c r="R15" s="503"/>
      <c r="S15" s="503"/>
      <c r="T15" s="503"/>
      <c r="U15" s="503"/>
      <c r="V15" s="503"/>
      <c r="W15" s="502"/>
      <c r="X15" s="502"/>
      <c r="Y15" s="502"/>
      <c r="Z15" s="502"/>
      <c r="AA15" s="502"/>
      <c r="AB15" s="502"/>
      <c r="AC15" s="502"/>
      <c r="AD15" s="502"/>
      <c r="AE15" s="502"/>
      <c r="AF15" s="502"/>
      <c r="AG15" s="502"/>
      <c r="AH15" s="502"/>
      <c r="AI15" s="502"/>
      <c r="AJ15" s="502"/>
      <c r="AK15" s="502"/>
      <c r="AL15" s="502"/>
      <c r="AM15" s="502"/>
      <c r="AN15" s="502"/>
      <c r="AO15" s="502"/>
    </row>
    <row r="16" spans="1:41" ht="12.5" x14ac:dyDescent="0.25">
      <c r="B16" s="504"/>
      <c r="C16" s="352"/>
      <c r="D16" s="3"/>
      <c r="E16" s="3"/>
      <c r="F16" s="128"/>
      <c r="G16" s="509"/>
      <c r="H16" s="509"/>
      <c r="I16" s="476"/>
      <c r="J16" s="520"/>
      <c r="K16" s="521"/>
      <c r="L16" s="522"/>
      <c r="M16" s="220"/>
      <c r="P16" s="503"/>
      <c r="Q16" s="503"/>
      <c r="R16" s="503"/>
      <c r="S16" s="503"/>
      <c r="T16" s="503"/>
      <c r="U16" s="503"/>
      <c r="V16" s="503"/>
      <c r="W16" s="502"/>
      <c r="X16" s="502"/>
      <c r="Y16" s="502"/>
      <c r="Z16" s="502"/>
      <c r="AA16" s="502"/>
      <c r="AB16" s="502"/>
      <c r="AC16" s="502"/>
      <c r="AD16" s="502"/>
      <c r="AE16" s="502"/>
      <c r="AF16" s="502"/>
      <c r="AG16" s="502"/>
      <c r="AH16" s="502"/>
      <c r="AI16" s="502"/>
      <c r="AJ16" s="502"/>
      <c r="AK16" s="502"/>
      <c r="AL16" s="502"/>
      <c r="AM16" s="502"/>
      <c r="AN16" s="502"/>
      <c r="AO16" s="502"/>
    </row>
    <row r="17" spans="1:41" ht="14.25" customHeight="1" x14ac:dyDescent="0.25">
      <c r="B17" s="7" t="s">
        <v>452</v>
      </c>
      <c r="C17" s="352" t="s">
        <v>453</v>
      </c>
      <c r="D17" s="3"/>
      <c r="E17" s="508"/>
      <c r="F17" s="128"/>
      <c r="G17" s="509"/>
      <c r="H17" s="523"/>
      <c r="I17" s="401"/>
      <c r="J17" s="520"/>
      <c r="K17" s="521"/>
      <c r="L17" s="522"/>
      <c r="M17" s="220"/>
      <c r="W17" s="502"/>
      <c r="X17" s="502"/>
      <c r="Y17" s="502"/>
      <c r="Z17" s="502"/>
      <c r="AA17" s="502"/>
      <c r="AB17" s="502"/>
      <c r="AC17" s="502"/>
      <c r="AD17" s="502"/>
      <c r="AE17" s="502"/>
      <c r="AF17" s="502"/>
      <c r="AG17" s="502"/>
      <c r="AH17" s="502"/>
      <c r="AI17" s="502"/>
      <c r="AJ17" s="502"/>
      <c r="AK17" s="502"/>
      <c r="AL17" s="502"/>
      <c r="AM17" s="502"/>
      <c r="AN17" s="502"/>
      <c r="AO17" s="502"/>
    </row>
    <row r="18" spans="1:41" ht="14.25" customHeight="1" x14ac:dyDescent="0.25">
      <c r="B18" s="7"/>
      <c r="C18" s="352"/>
      <c r="D18" s="3"/>
      <c r="E18" s="508"/>
      <c r="F18" s="128"/>
      <c r="G18" s="509"/>
      <c r="H18" s="523"/>
      <c r="I18" s="401"/>
      <c r="J18" s="520"/>
      <c r="K18" s="521"/>
      <c r="L18" s="522"/>
      <c r="M18" s="220"/>
      <c r="W18" s="502"/>
      <c r="X18" s="502"/>
      <c r="Y18" s="502"/>
      <c r="Z18" s="502"/>
      <c r="AA18" s="502"/>
      <c r="AB18" s="502"/>
      <c r="AC18" s="502"/>
      <c r="AD18" s="502"/>
      <c r="AE18" s="502"/>
      <c r="AF18" s="502"/>
      <c r="AG18" s="502"/>
      <c r="AH18" s="502"/>
      <c r="AI18" s="502"/>
      <c r="AJ18" s="502"/>
      <c r="AK18" s="502"/>
      <c r="AL18" s="502"/>
      <c r="AM18" s="502"/>
      <c r="AN18" s="502"/>
      <c r="AO18" s="502"/>
    </row>
    <row r="19" spans="1:41" ht="12.75" customHeight="1" x14ac:dyDescent="0.25">
      <c r="B19" s="7" t="s">
        <v>454</v>
      </c>
      <c r="C19" s="761" t="s">
        <v>531</v>
      </c>
      <c r="D19" s="3"/>
      <c r="E19" s="3"/>
      <c r="F19" s="128"/>
      <c r="G19" s="509"/>
      <c r="H19" s="523"/>
      <c r="I19" s="401"/>
      <c r="J19" s="520"/>
      <c r="K19" s="521"/>
      <c r="L19" s="522"/>
      <c r="M19" s="220"/>
      <c r="P19" s="511"/>
      <c r="Q19" s="512"/>
      <c r="R19" s="511"/>
      <c r="S19" s="511"/>
      <c r="T19" s="528"/>
      <c r="U19" s="514"/>
      <c r="V19" s="312"/>
      <c r="W19" s="502"/>
      <c r="X19" s="502"/>
      <c r="Y19" s="502"/>
      <c r="Z19" s="502"/>
      <c r="AA19" s="502"/>
      <c r="AB19" s="502"/>
      <c r="AC19" s="502"/>
      <c r="AD19" s="502"/>
      <c r="AE19" s="502"/>
      <c r="AF19" s="502"/>
      <c r="AG19" s="502"/>
      <c r="AH19" s="502"/>
      <c r="AI19" s="502"/>
      <c r="AJ19" s="502"/>
      <c r="AK19" s="502"/>
      <c r="AL19" s="502"/>
      <c r="AM19" s="502"/>
      <c r="AN19" s="502"/>
      <c r="AO19" s="502"/>
    </row>
    <row r="20" spans="1:41" ht="14.5" x14ac:dyDescent="0.25">
      <c r="B20" s="7"/>
      <c r="C20" s="761"/>
      <c r="D20" s="3"/>
      <c r="E20" s="3"/>
      <c r="F20" s="128"/>
      <c r="G20" s="509"/>
      <c r="H20" s="509" t="str">
        <f t="shared" si="0"/>
        <v/>
      </c>
      <c r="I20" s="476"/>
      <c r="J20" s="520"/>
      <c r="K20" s="521"/>
      <c r="L20" s="522"/>
      <c r="M20" s="220"/>
      <c r="P20" s="502"/>
      <c r="Q20" s="502"/>
      <c r="R20" s="502"/>
      <c r="S20" s="502"/>
      <c r="T20" s="502"/>
      <c r="U20" s="502"/>
      <c r="V20" s="502"/>
      <c r="W20" s="502"/>
      <c r="X20" s="502"/>
      <c r="Y20" s="502"/>
      <c r="Z20" s="502"/>
      <c r="AA20" s="502"/>
      <c r="AB20" s="502"/>
      <c r="AC20" s="502"/>
      <c r="AD20" s="515" t="s">
        <v>33</v>
      </c>
      <c r="AE20" s="516" t="s">
        <v>31</v>
      </c>
      <c r="AF20" s="514"/>
      <c r="AG20" s="516" t="s">
        <v>32</v>
      </c>
      <c r="AH20" s="514"/>
      <c r="AI20" s="516" t="s">
        <v>78</v>
      </c>
      <c r="AJ20" s="516"/>
      <c r="AK20" s="516" t="s">
        <v>79</v>
      </c>
      <c r="AL20" s="502"/>
      <c r="AM20" s="502"/>
      <c r="AN20" s="502"/>
      <c r="AO20" s="502"/>
    </row>
    <row r="21" spans="1:41" ht="12.5" x14ac:dyDescent="0.25">
      <c r="B21" s="7"/>
      <c r="C21" s="761"/>
      <c r="D21" s="3"/>
      <c r="E21" s="3"/>
      <c r="F21" s="128"/>
      <c r="G21" s="509"/>
      <c r="H21" s="509"/>
      <c r="I21" s="476"/>
      <c r="J21" s="520"/>
      <c r="K21" s="521"/>
      <c r="L21" s="522"/>
      <c r="M21" s="220"/>
      <c r="P21" s="502"/>
      <c r="Q21" s="502"/>
      <c r="R21" s="502"/>
      <c r="S21" s="502"/>
      <c r="T21" s="502"/>
      <c r="U21" s="502"/>
      <c r="V21" s="502"/>
      <c r="W21" s="502"/>
      <c r="X21" s="502"/>
      <c r="Y21" s="502"/>
      <c r="Z21" s="502"/>
      <c r="AA21" s="502"/>
      <c r="AB21" s="502"/>
      <c r="AC21" s="502"/>
      <c r="AD21" s="515"/>
      <c r="AE21" s="516"/>
      <c r="AF21" s="514"/>
      <c r="AG21" s="516"/>
      <c r="AH21" s="514"/>
      <c r="AI21" s="516"/>
      <c r="AJ21" s="516"/>
      <c r="AK21" s="516"/>
      <c r="AL21" s="502"/>
      <c r="AM21" s="502"/>
      <c r="AN21" s="502"/>
      <c r="AO21" s="502"/>
    </row>
    <row r="22" spans="1:41" ht="12.5" x14ac:dyDescent="0.25">
      <c r="B22" s="7"/>
      <c r="C22" s="352"/>
      <c r="D22" s="3"/>
      <c r="E22" s="3"/>
      <c r="F22" s="128"/>
      <c r="G22" s="509"/>
      <c r="H22" s="509"/>
      <c r="I22" s="476"/>
      <c r="J22" s="520"/>
      <c r="K22" s="521"/>
      <c r="L22" s="522"/>
      <c r="M22" s="220"/>
      <c r="P22" s="502"/>
      <c r="Q22" s="502"/>
      <c r="R22" s="502"/>
      <c r="S22" s="502"/>
      <c r="T22" s="502"/>
      <c r="U22" s="502"/>
      <c r="V22" s="502"/>
      <c r="W22" s="502"/>
      <c r="X22" s="502"/>
      <c r="Y22" s="502"/>
      <c r="Z22" s="502"/>
      <c r="AA22" s="502"/>
      <c r="AB22" s="502"/>
      <c r="AC22" s="502"/>
      <c r="AD22" s="515"/>
      <c r="AE22" s="516"/>
      <c r="AF22" s="514"/>
      <c r="AG22" s="516"/>
      <c r="AH22" s="514"/>
      <c r="AI22" s="516"/>
      <c r="AJ22" s="516"/>
      <c r="AK22" s="516"/>
      <c r="AL22" s="502"/>
      <c r="AM22" s="502"/>
      <c r="AN22" s="502"/>
      <c r="AO22" s="502"/>
    </row>
    <row r="23" spans="1:41" ht="12.5" x14ac:dyDescent="0.25">
      <c r="B23" s="7"/>
      <c r="C23" s="352" t="s">
        <v>581</v>
      </c>
      <c r="D23" s="3" t="s">
        <v>16</v>
      </c>
      <c r="E23" s="3" t="s">
        <v>30</v>
      </c>
      <c r="F23" s="128">
        <v>1247</v>
      </c>
      <c r="G23" s="171">
        <v>0</v>
      </c>
      <c r="H23" s="237">
        <f>IF(D23="","",F23*G23)</f>
        <v>0</v>
      </c>
      <c r="I23" s="401"/>
      <c r="J23" s="520"/>
      <c r="K23" s="521"/>
      <c r="L23" s="522"/>
      <c r="M23" s="220"/>
      <c r="P23" s="502"/>
      <c r="Q23" s="312"/>
      <c r="R23" s="312"/>
      <c r="S23" s="529"/>
      <c r="T23" s="511"/>
      <c r="U23" s="312"/>
      <c r="V23" s="511"/>
      <c r="W23" s="502"/>
      <c r="X23" s="502"/>
      <c r="Y23" s="502"/>
      <c r="Z23" s="502"/>
      <c r="AA23" s="502"/>
      <c r="AB23" s="502"/>
      <c r="AC23" s="502"/>
      <c r="AD23" s="530"/>
      <c r="AE23" s="530"/>
      <c r="AF23" s="530"/>
      <c r="AG23" s="530"/>
      <c r="AH23" s="530"/>
      <c r="AI23" s="530"/>
      <c r="AJ23" s="530"/>
      <c r="AK23" s="530"/>
      <c r="AL23" s="530"/>
      <c r="AM23" s="502"/>
      <c r="AN23" s="502"/>
      <c r="AO23" s="502"/>
    </row>
    <row r="24" spans="1:41" ht="12.5" x14ac:dyDescent="0.25">
      <c r="B24" s="7"/>
      <c r="C24" s="352"/>
      <c r="D24" s="3"/>
      <c r="E24" s="3"/>
      <c r="F24" s="128"/>
      <c r="G24" s="571"/>
      <c r="H24" s="523"/>
      <c r="I24" s="401"/>
      <c r="J24" s="520"/>
      <c r="K24" s="521"/>
      <c r="L24" s="522"/>
      <c r="M24" s="220"/>
      <c r="P24" s="502"/>
      <c r="Q24" s="312"/>
      <c r="R24" s="312"/>
      <c r="S24" s="529"/>
      <c r="T24" s="511"/>
      <c r="U24" s="312"/>
      <c r="V24" s="511"/>
      <c r="W24" s="502"/>
      <c r="X24" s="502"/>
      <c r="Y24" s="502"/>
      <c r="Z24" s="502"/>
      <c r="AA24" s="502"/>
      <c r="AB24" s="502"/>
      <c r="AC24" s="502"/>
      <c r="AD24" s="530"/>
      <c r="AE24" s="530"/>
      <c r="AF24" s="530"/>
      <c r="AG24" s="530"/>
      <c r="AH24" s="530"/>
      <c r="AI24" s="530"/>
      <c r="AJ24" s="530"/>
      <c r="AK24" s="530"/>
      <c r="AL24" s="530"/>
      <c r="AM24" s="502"/>
      <c r="AN24" s="502"/>
      <c r="AO24" s="502"/>
    </row>
    <row r="25" spans="1:41" ht="12.5" x14ac:dyDescent="0.25">
      <c r="B25" s="7" t="s">
        <v>344</v>
      </c>
      <c r="C25" s="352" t="s">
        <v>345</v>
      </c>
      <c r="D25" s="3" t="s">
        <v>84</v>
      </c>
      <c r="E25" s="3"/>
      <c r="F25" s="128">
        <v>2065</v>
      </c>
      <c r="G25" s="171">
        <v>0</v>
      </c>
      <c r="H25" s="237">
        <f>IF(D25="","",F25*G25)</f>
        <v>0</v>
      </c>
      <c r="I25" s="401"/>
      <c r="J25" s="520"/>
      <c r="K25" s="521"/>
      <c r="L25" s="522"/>
      <c r="M25" s="220"/>
      <c r="P25" s="502"/>
      <c r="Q25" s="312"/>
      <c r="R25" s="312"/>
      <c r="S25" s="529"/>
      <c r="T25" s="511"/>
      <c r="U25" s="312"/>
      <c r="V25" s="511"/>
      <c r="W25" s="502"/>
      <c r="X25" s="502"/>
      <c r="Y25" s="502"/>
      <c r="Z25" s="502"/>
      <c r="AA25" s="502"/>
      <c r="AB25" s="502"/>
      <c r="AC25" s="502"/>
      <c r="AD25" s="530"/>
      <c r="AE25" s="530"/>
      <c r="AF25" s="530"/>
      <c r="AG25" s="530"/>
      <c r="AH25" s="530"/>
      <c r="AI25" s="530"/>
      <c r="AJ25" s="530"/>
      <c r="AK25" s="530"/>
      <c r="AL25" s="530"/>
      <c r="AM25" s="502"/>
      <c r="AN25" s="502"/>
      <c r="AO25" s="502"/>
    </row>
    <row r="26" spans="1:41" ht="12.5" x14ac:dyDescent="0.25">
      <c r="B26" s="7"/>
      <c r="C26" s="352"/>
      <c r="D26" s="3"/>
      <c r="E26" s="3"/>
      <c r="F26" s="128"/>
      <c r="G26" s="571"/>
      <c r="H26" s="523"/>
      <c r="I26" s="401"/>
      <c r="J26" s="520"/>
      <c r="K26" s="521"/>
      <c r="L26" s="522"/>
      <c r="M26" s="220"/>
      <c r="P26" s="502"/>
      <c r="Q26" s="312"/>
      <c r="R26" s="312"/>
      <c r="S26" s="529"/>
      <c r="T26" s="511"/>
      <c r="U26" s="312"/>
      <c r="V26" s="511"/>
      <c r="W26" s="502"/>
      <c r="X26" s="502"/>
      <c r="Y26" s="502"/>
      <c r="Z26" s="502"/>
      <c r="AA26" s="502"/>
      <c r="AB26" s="502"/>
      <c r="AC26" s="502"/>
      <c r="AD26" s="530"/>
      <c r="AE26" s="530"/>
      <c r="AF26" s="530"/>
      <c r="AG26" s="530"/>
      <c r="AH26" s="530"/>
      <c r="AI26" s="530"/>
      <c r="AJ26" s="530"/>
      <c r="AK26" s="530"/>
      <c r="AL26" s="530"/>
      <c r="AM26" s="502"/>
      <c r="AN26" s="502"/>
      <c r="AO26" s="502"/>
    </row>
    <row r="27" spans="1:41" s="25" customFormat="1" ht="12" customHeight="1" x14ac:dyDescent="0.25">
      <c r="A27" s="53"/>
      <c r="B27" s="7"/>
      <c r="C27" s="352"/>
      <c r="D27" s="3"/>
      <c r="E27" s="3"/>
      <c r="F27" s="128"/>
      <c r="G27" s="509"/>
      <c r="H27" s="509" t="str">
        <f>IF(D27="","",F27*G27)</f>
        <v/>
      </c>
      <c r="I27" s="476"/>
      <c r="J27" s="217"/>
      <c r="K27" s="218"/>
      <c r="L27" s="219"/>
      <c r="M27" s="220"/>
      <c r="Q27" s="546"/>
      <c r="S27" s="53"/>
      <c r="T27" s="53"/>
      <c r="U27" s="53"/>
      <c r="V27" s="53"/>
      <c r="W27" s="53"/>
      <c r="X27" s="53"/>
      <c r="Y27" s="53"/>
    </row>
    <row r="28" spans="1:41" s="25" customFormat="1" ht="22.5" customHeight="1" x14ac:dyDescent="0.25">
      <c r="A28" s="53"/>
      <c r="B28" s="29" t="str">
        <f>B11</f>
        <v>C5.4</v>
      </c>
      <c r="C28" s="28" t="str">
        <f>"TOTAL CARRIED FORWARD"&amp;IF(H28=H$1," TO SUMMARY")</f>
        <v>TOTAL CARRIED FORWARD TO SUMMARY</v>
      </c>
      <c r="D28" s="469"/>
      <c r="E28" s="469"/>
      <c r="F28" s="470"/>
      <c r="G28" s="471"/>
      <c r="H28" s="253">
        <f>SUM(H10:H27)</f>
        <v>0</v>
      </c>
      <c r="I28" s="518"/>
      <c r="J28" s="254"/>
      <c r="K28" s="254"/>
      <c r="L28" s="255"/>
      <c r="M28" s="256"/>
      <c r="O28" s="519"/>
      <c r="Q28" s="546"/>
      <c r="S28" s="53"/>
      <c r="T28" s="53"/>
      <c r="U28" s="53"/>
      <c r="V28" s="53"/>
      <c r="W28" s="53"/>
      <c r="X28" s="53"/>
      <c r="Y28" s="53"/>
    </row>
    <row r="29" spans="1:41" ht="12" customHeight="1" x14ac:dyDescent="0.25">
      <c r="L29" s="71"/>
    </row>
    <row r="30" spans="1:41" ht="12" customHeight="1" x14ac:dyDescent="0.25">
      <c r="L30" s="71"/>
    </row>
  </sheetData>
  <sheetProtection algorithmName="SHA-512" hashValue="uO2d9mQKbHs7Vusa9dPbS027MadLeb6eSAbQiXUVy9ixPZ3ToUMVNAUIFNg3kTdEyqyZIz+n0jji5+gVkZxsLA==" saltValue="BXNkqdb5wlPGly/+Z5lh1w==" spinCount="100000" sheet="1" objects="1" scenarios="1"/>
  <mergeCells count="4">
    <mergeCell ref="F3:H3"/>
    <mergeCell ref="F6:H6"/>
    <mergeCell ref="C19:C21"/>
    <mergeCell ref="B7:H7"/>
  </mergeCells>
  <conditionalFormatting sqref="P20:P26">
    <cfRule type="cellIs" dxfId="63" priority="9" stopIfTrue="1" operator="lessThan">
      <formula>0.005</formula>
    </cfRule>
  </conditionalFormatting>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3" id="{A07E93DB-76E4-42AD-BC9F-62A60F4D9BBA}">
            <xm:f>AND(Home!$C$8=FALSE,$D10&lt;&gt;"P C Sum",$D10&lt;&gt;"PC Sum",$D10&lt;&gt;"P Sum",$D10&lt;&gt;"Prov Sum")</xm:f>
            <x14:dxf>
              <font>
                <color theme="0"/>
              </font>
            </x14:dxf>
          </x14:cfRule>
          <xm:sqref>G10:H23</xm:sqref>
        </x14:conditionalFormatting>
        <x14:conditionalFormatting xmlns:xm="http://schemas.microsoft.com/office/excel/2006/main">
          <x14:cfRule type="expression" priority="2" id="{8E757461-BD8C-4FBE-9D8F-32110812CD84}">
            <xm:f>AND(Home!$C$8=FALSE,$D25&lt;&gt;"P C Sum",$D25&lt;&gt;"PC Sum",$D25&lt;&gt;"P Sum",$D25&lt;&gt;"Prov Sum")</xm:f>
            <x14:dxf>
              <font>
                <color theme="0"/>
              </font>
            </x14:dxf>
          </x14:cfRule>
          <xm:sqref>G25:H25</xm:sqref>
        </x14:conditionalFormatting>
        <x14:conditionalFormatting xmlns:xm="http://schemas.microsoft.com/office/excel/2006/main">
          <x14:cfRule type="expression" priority="1" id="{A394F6A5-A548-48D0-B1B7-8614A88F9FCB}">
            <xm:f>AND(Home!$C$8=FALSE,$D27&lt;&gt;"P C Sum",$D27&lt;&gt;"PC Sum",$D27&lt;&gt;"P Sum",$D27&lt;&gt;"Prov Sum")</xm:f>
            <x14:dxf>
              <font>
                <color theme="0"/>
              </font>
            </x14:dxf>
          </x14:cfRule>
          <xm:sqref>G27:H28</xm:sqref>
        </x14:conditionalFormatting>
        <x14:conditionalFormatting xmlns:xm="http://schemas.microsoft.com/office/excel/2006/main">
          <x14:cfRule type="expression" priority="18" id="{EA5E8D07-BF8C-4060-9048-0F7F122B2451}">
            <xm:f>AND(Home!$C$8=FALSE,#REF!&lt;&gt;"P C Sum",#REF!&lt;&gt;"PC Sum",#REF!&lt;&gt;"P Sum",#REF!&lt;&gt;"Prov Sum")</xm:f>
            <x14:dxf>
              <font>
                <color theme="0"/>
              </font>
            </x14:dxf>
          </x14:cfRule>
          <xm:sqref>K28:M28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CA519-8E5E-4056-BFA7-124D42D85411}">
  <sheetPr codeName="Sheet10">
    <tabColor theme="9" tint="0.59999389629810485"/>
  </sheetPr>
  <dimension ref="A1:AO20"/>
  <sheetViews>
    <sheetView showGridLines="0" view="pageBreakPreview" zoomScale="115" zoomScaleSheetLayoutView="115" workbookViewId="0">
      <pane xSplit="5" ySplit="2" topLeftCell="F3" activePane="bottomRight" state="frozen"/>
      <selection activeCell="F47" sqref="F47"/>
      <selection pane="topRight" activeCell="F47" sqref="F47"/>
      <selection pane="bottomLeft" activeCell="F47" sqref="F47"/>
      <selection pane="bottomRight" activeCell="J7" sqref="J7"/>
    </sheetView>
  </sheetViews>
  <sheetFormatPr defaultColWidth="8.81640625" defaultRowHeight="12" customHeight="1" x14ac:dyDescent="0.25"/>
  <cols>
    <col min="1" max="1" width="1.1796875" style="53" customWidth="1"/>
    <col min="2" max="2" width="7.453125" style="376" customWidth="1"/>
    <col min="3" max="3" width="41.1796875" style="377" customWidth="1"/>
    <col min="4" max="4" width="9" style="378" customWidth="1"/>
    <col min="5" max="5" width="4.453125" style="378" customWidth="1"/>
    <col min="6" max="6" width="12.6328125" style="378" customWidth="1"/>
    <col min="7" max="7" width="12.1796875" style="53" customWidth="1"/>
    <col min="8" max="8" width="18.90625" style="53" customWidth="1"/>
    <col min="9" max="9" width="1.1796875" style="53" customWidth="1"/>
    <col min="10" max="10" width="13.54296875" style="57" customWidth="1"/>
    <col min="11" max="12" width="14.1796875" style="57" customWidth="1"/>
    <col min="13" max="13" width="14.1796875" style="23" customWidth="1"/>
    <col min="14" max="14" width="7.453125" style="25" customWidth="1"/>
    <col min="15" max="15" width="11.54296875" style="25" customWidth="1"/>
    <col min="16" max="16" width="7.453125" style="25" customWidth="1"/>
    <col min="17" max="17" width="14.453125" style="25" customWidth="1"/>
    <col min="18" max="18" width="11.453125" style="25" bestFit="1" customWidth="1"/>
    <col min="19" max="19" width="5.453125" style="53" customWidth="1"/>
    <col min="20" max="16384" width="8.81640625" style="53"/>
  </cols>
  <sheetData>
    <row r="1" spans="1:41" ht="12" customHeight="1" x14ac:dyDescent="0.25">
      <c r="B1" s="54"/>
      <c r="C1" s="24" t="s">
        <v>61</v>
      </c>
      <c r="D1" s="25"/>
      <c r="E1" s="25"/>
      <c r="F1" s="26" t="s">
        <v>93</v>
      </c>
      <c r="G1" s="24">
        <v>1</v>
      </c>
      <c r="H1" s="55">
        <f>MAX(H2:H43)</f>
        <v>0</v>
      </c>
    </row>
    <row r="2" spans="1:41" ht="12" customHeight="1" x14ac:dyDescent="0.25">
      <c r="A2" s="23"/>
      <c r="B2" s="145"/>
      <c r="C2" s="61"/>
      <c r="D2" s="61"/>
      <c r="E2" s="61"/>
      <c r="F2" s="61"/>
      <c r="G2" s="61"/>
      <c r="H2" s="61"/>
      <c r="I2" s="26"/>
      <c r="J2" s="159"/>
      <c r="K2" s="159"/>
      <c r="L2" s="159"/>
      <c r="M2" s="159"/>
    </row>
    <row r="3" spans="1:41" s="23" customFormat="1" ht="11.5" x14ac:dyDescent="0.25">
      <c r="B3" s="309" t="str">
        <f>_Client1</f>
        <v>Province of KwaZulu-Natal</v>
      </c>
      <c r="C3" s="24"/>
      <c r="D3" s="25"/>
      <c r="F3" s="753" t="str">
        <f>"Contract No. "&amp;_ContractNo</f>
        <v>Contract No. ZNB02642/00000/00/HOD/INF/25/T</v>
      </c>
      <c r="G3" s="753"/>
      <c r="H3" s="753"/>
      <c r="J3" s="57"/>
      <c r="K3" s="57"/>
      <c r="L3" s="57"/>
      <c r="O3" s="25"/>
    </row>
    <row r="4" spans="1:41" s="23" customFormat="1" ht="11.5" x14ac:dyDescent="0.25">
      <c r="B4" s="310" t="str">
        <f>_Client2</f>
        <v>Department of Transport</v>
      </c>
      <c r="C4" s="24"/>
      <c r="D4" s="25"/>
      <c r="E4" s="25"/>
      <c r="F4" s="25"/>
      <c r="G4" s="25"/>
      <c r="H4" s="25"/>
      <c r="J4" s="57"/>
      <c r="K4" s="57"/>
      <c r="L4" s="57"/>
      <c r="N4" s="26"/>
      <c r="O4" s="25"/>
    </row>
    <row r="5" spans="1:41" ht="11.5" x14ac:dyDescent="0.25"/>
    <row r="6" spans="1:41" s="23" customFormat="1" ht="11.5" x14ac:dyDescent="0.25">
      <c r="B6" s="381" t="s">
        <v>21</v>
      </c>
      <c r="C6" s="58"/>
      <c r="D6" s="59"/>
      <c r="E6" s="59"/>
      <c r="F6" s="751" t="str">
        <f>"SECTION "&amp;B11</f>
        <v>SECTION C6.2</v>
      </c>
      <c r="G6" s="751"/>
      <c r="H6" s="752"/>
      <c r="I6" s="494"/>
      <c r="J6" s="160"/>
      <c r="K6" s="160"/>
      <c r="L6" s="160"/>
      <c r="M6" s="35"/>
      <c r="N6" s="25"/>
      <c r="O6" s="25"/>
      <c r="P6" s="25"/>
      <c r="Q6" s="25"/>
      <c r="R6" s="25"/>
    </row>
    <row r="7" spans="1:41" ht="23.4"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495"/>
      <c r="J7" s="161"/>
      <c r="K7" s="161"/>
      <c r="L7" s="161"/>
      <c r="M7" s="162"/>
      <c r="S7" s="23"/>
      <c r="T7" s="23"/>
      <c r="U7" s="23"/>
      <c r="V7" s="23"/>
    </row>
    <row r="8" spans="1:41" ht="8.15" customHeight="1" x14ac:dyDescent="0.25">
      <c r="B8" s="496"/>
      <c r="C8" s="497"/>
      <c r="D8" s="497"/>
      <c r="E8" s="497"/>
      <c r="F8" s="497"/>
      <c r="G8" s="497"/>
      <c r="H8" s="498"/>
      <c r="I8" s="495"/>
      <c r="J8" s="161"/>
      <c r="K8" s="161"/>
      <c r="L8" s="161"/>
      <c r="M8" s="162"/>
      <c r="S8" s="23"/>
      <c r="T8" s="23"/>
      <c r="U8" s="23"/>
      <c r="V8" s="23"/>
    </row>
    <row r="9" spans="1:41" s="390" customFormat="1" ht="20.149999999999999" customHeight="1" x14ac:dyDescent="0.25">
      <c r="B9" s="499" t="s">
        <v>0</v>
      </c>
      <c r="C9" s="500" t="s">
        <v>1</v>
      </c>
      <c r="D9" s="500" t="s">
        <v>2</v>
      </c>
      <c r="E9" s="500" t="s">
        <v>30</v>
      </c>
      <c r="F9" s="500" t="s">
        <v>3</v>
      </c>
      <c r="G9" s="500" t="s">
        <v>4</v>
      </c>
      <c r="H9" s="500" t="s">
        <v>5</v>
      </c>
      <c r="I9" s="10"/>
      <c r="J9" s="159"/>
      <c r="K9" s="159"/>
      <c r="L9" s="159"/>
      <c r="M9" s="10"/>
      <c r="N9" s="25"/>
      <c r="O9" s="25"/>
      <c r="P9" s="25"/>
      <c r="Q9" s="25"/>
      <c r="R9" s="25"/>
      <c r="S9" s="23"/>
      <c r="T9" s="23"/>
      <c r="U9" s="23"/>
      <c r="V9" s="23"/>
    </row>
    <row r="10" spans="1:41" ht="11.5" x14ac:dyDescent="0.25">
      <c r="B10" s="7"/>
      <c r="C10" s="352"/>
      <c r="D10" s="1"/>
      <c r="E10" s="1"/>
      <c r="F10" s="70"/>
      <c r="G10" s="501"/>
      <c r="H10" s="501" t="str">
        <f t="shared" ref="H10:H13" si="0">IF(D10="","",F10*G10)</f>
        <v/>
      </c>
      <c r="I10" s="476"/>
      <c r="J10" s="217"/>
      <c r="K10" s="218"/>
      <c r="L10" s="219"/>
      <c r="M10" s="220"/>
      <c r="S10" s="23"/>
      <c r="T10" s="23"/>
      <c r="U10" s="23"/>
      <c r="V10" s="23"/>
    </row>
    <row r="11" spans="1:41" ht="12.5" x14ac:dyDescent="0.25">
      <c r="B11" s="421" t="s">
        <v>636</v>
      </c>
      <c r="C11" s="398" t="s">
        <v>637</v>
      </c>
      <c r="D11" s="1"/>
      <c r="E11" s="1"/>
      <c r="F11" s="70"/>
      <c r="G11" s="501"/>
      <c r="H11" s="501" t="str">
        <f t="shared" si="0"/>
        <v/>
      </c>
      <c r="I11" s="476"/>
      <c r="J11" s="217"/>
      <c r="K11" s="218"/>
      <c r="L11" s="219"/>
      <c r="M11" s="220"/>
      <c r="S11" s="23"/>
      <c r="T11" s="23"/>
      <c r="U11" s="23"/>
      <c r="V11" s="23"/>
      <c r="W11" s="502"/>
      <c r="X11" s="502"/>
      <c r="Y11" s="502"/>
      <c r="Z11" s="502"/>
      <c r="AA11" s="502"/>
      <c r="AB11" s="502"/>
      <c r="AC11" s="502"/>
      <c r="AD11" s="502"/>
      <c r="AE11" s="502"/>
      <c r="AF11" s="502"/>
      <c r="AG11" s="502"/>
      <c r="AH11" s="502"/>
      <c r="AI11" s="502"/>
      <c r="AJ11" s="502"/>
      <c r="AK11" s="502"/>
      <c r="AL11" s="502"/>
      <c r="AM11" s="502"/>
      <c r="AN11" s="502"/>
      <c r="AO11" s="502"/>
    </row>
    <row r="12" spans="1:41" ht="12.5" x14ac:dyDescent="0.25">
      <c r="B12" s="421"/>
      <c r="C12" s="398"/>
      <c r="D12" s="1"/>
      <c r="E12" s="1"/>
      <c r="F12" s="70"/>
      <c r="G12" s="501"/>
      <c r="H12" s="501"/>
      <c r="I12" s="476"/>
      <c r="J12" s="217"/>
      <c r="K12" s="218"/>
      <c r="L12" s="219"/>
      <c r="M12" s="220"/>
      <c r="S12" s="23"/>
      <c r="T12" s="23"/>
      <c r="U12" s="23"/>
      <c r="V12" s="23"/>
      <c r="W12" s="502"/>
      <c r="X12" s="502"/>
      <c r="Y12" s="502"/>
      <c r="Z12" s="502"/>
      <c r="AA12" s="502"/>
      <c r="AB12" s="502"/>
      <c r="AC12" s="502"/>
      <c r="AD12" s="502"/>
      <c r="AE12" s="502"/>
      <c r="AF12" s="502"/>
      <c r="AG12" s="502"/>
      <c r="AH12" s="502"/>
      <c r="AI12" s="502"/>
      <c r="AJ12" s="502"/>
      <c r="AK12" s="502"/>
      <c r="AL12" s="502"/>
      <c r="AM12" s="502"/>
      <c r="AN12" s="502"/>
      <c r="AO12" s="502"/>
    </row>
    <row r="13" spans="1:41" ht="12.5" x14ac:dyDescent="0.25">
      <c r="B13" s="7"/>
      <c r="C13" s="352"/>
      <c r="D13" s="1"/>
      <c r="E13" s="1"/>
      <c r="F13" s="70"/>
      <c r="G13" s="501"/>
      <c r="H13" s="501" t="str">
        <f t="shared" si="0"/>
        <v/>
      </c>
      <c r="I13" s="476"/>
      <c r="J13" s="217"/>
      <c r="K13" s="218"/>
      <c r="L13" s="219"/>
      <c r="M13" s="220"/>
      <c r="S13" s="23"/>
      <c r="T13" s="23"/>
      <c r="U13" s="23"/>
      <c r="V13" s="23"/>
      <c r="W13" s="502"/>
      <c r="X13" s="502"/>
      <c r="Y13" s="502"/>
      <c r="Z13" s="502"/>
      <c r="AA13" s="502"/>
      <c r="AB13" s="502"/>
      <c r="AC13" s="502"/>
      <c r="AD13" s="502"/>
      <c r="AE13" s="502"/>
      <c r="AF13" s="502"/>
      <c r="AG13" s="502"/>
      <c r="AH13" s="502"/>
      <c r="AI13" s="502"/>
      <c r="AJ13" s="502"/>
      <c r="AK13" s="502"/>
      <c r="AL13" s="502"/>
      <c r="AM13" s="502"/>
      <c r="AN13" s="502"/>
      <c r="AO13" s="502"/>
    </row>
    <row r="14" spans="1:41" ht="23" x14ac:dyDescent="0.25">
      <c r="B14" s="7" t="s">
        <v>638</v>
      </c>
      <c r="C14" s="352" t="s">
        <v>639</v>
      </c>
      <c r="D14" s="3" t="s">
        <v>13</v>
      </c>
      <c r="E14" s="3"/>
      <c r="F14" s="128">
        <f>2.76*6</f>
        <v>16.559999999999999</v>
      </c>
      <c r="G14" s="171">
        <v>0</v>
      </c>
      <c r="H14" s="290">
        <f>F14*G14</f>
        <v>0</v>
      </c>
      <c r="I14" s="476"/>
      <c r="J14" s="520"/>
      <c r="K14" s="521"/>
      <c r="L14" s="522"/>
      <c r="M14" s="220"/>
      <c r="P14" s="503"/>
      <c r="Q14" s="503"/>
      <c r="R14" s="503"/>
      <c r="S14" s="503"/>
      <c r="T14" s="503"/>
      <c r="U14" s="503"/>
      <c r="V14" s="503"/>
      <c r="W14" s="502"/>
      <c r="X14" s="502"/>
      <c r="Y14" s="502"/>
      <c r="Z14" s="502"/>
      <c r="AA14" s="502"/>
      <c r="AB14" s="502"/>
      <c r="AC14" s="502"/>
      <c r="AD14" s="502"/>
      <c r="AE14" s="502"/>
      <c r="AF14" s="502"/>
      <c r="AG14" s="502"/>
      <c r="AH14" s="502"/>
      <c r="AI14" s="502"/>
      <c r="AJ14" s="502"/>
      <c r="AK14" s="502"/>
      <c r="AL14" s="502"/>
      <c r="AM14" s="502"/>
      <c r="AN14" s="502"/>
      <c r="AO14" s="502"/>
    </row>
    <row r="15" spans="1:41" ht="12.5" x14ac:dyDescent="0.25">
      <c r="B15" s="504"/>
      <c r="C15" s="352"/>
      <c r="D15" s="3"/>
      <c r="E15" s="3"/>
      <c r="F15" s="128"/>
      <c r="G15" s="509"/>
      <c r="H15" s="509"/>
      <c r="I15" s="476"/>
      <c r="J15" s="520"/>
      <c r="K15" s="521"/>
      <c r="L15" s="522"/>
      <c r="M15" s="220"/>
      <c r="P15" s="503"/>
      <c r="Q15" s="503"/>
      <c r="R15" s="503"/>
      <c r="S15" s="503"/>
      <c r="T15" s="503"/>
      <c r="U15" s="503"/>
      <c r="V15" s="503"/>
      <c r="W15" s="502"/>
      <c r="X15" s="502"/>
      <c r="Y15" s="502"/>
      <c r="Z15" s="502"/>
      <c r="AA15" s="502"/>
      <c r="AB15" s="502"/>
      <c r="AC15" s="502"/>
      <c r="AD15" s="502"/>
      <c r="AE15" s="502"/>
      <c r="AF15" s="502"/>
      <c r="AG15" s="502"/>
      <c r="AH15" s="502"/>
      <c r="AI15" s="502"/>
      <c r="AJ15" s="502"/>
      <c r="AK15" s="502"/>
      <c r="AL15" s="502"/>
      <c r="AM15" s="502"/>
      <c r="AN15" s="502"/>
      <c r="AO15" s="502"/>
    </row>
    <row r="16" spans="1:41" ht="23" x14ac:dyDescent="0.25">
      <c r="B16" s="7"/>
      <c r="C16" s="352" t="s">
        <v>640</v>
      </c>
      <c r="D16" s="3" t="s">
        <v>13</v>
      </c>
      <c r="E16" s="3"/>
      <c r="F16" s="128">
        <f>5.25*6</f>
        <v>31.5</v>
      </c>
      <c r="G16" s="171">
        <v>0</v>
      </c>
      <c r="H16" s="290">
        <f>F16*G16</f>
        <v>0</v>
      </c>
      <c r="I16" s="401"/>
      <c r="J16" s="520"/>
      <c r="K16" s="521"/>
      <c r="L16" s="522"/>
      <c r="M16" s="220"/>
      <c r="P16" s="502"/>
      <c r="Q16" s="312"/>
      <c r="R16" s="312"/>
      <c r="S16" s="529"/>
      <c r="T16" s="511"/>
      <c r="U16" s="312"/>
      <c r="V16" s="511"/>
      <c r="W16" s="502"/>
      <c r="X16" s="502"/>
      <c r="Y16" s="502"/>
      <c r="Z16" s="502"/>
      <c r="AA16" s="502"/>
      <c r="AB16" s="502"/>
      <c r="AC16" s="502"/>
      <c r="AD16" s="530"/>
      <c r="AE16" s="530"/>
      <c r="AF16" s="530"/>
      <c r="AG16" s="530"/>
      <c r="AH16" s="530"/>
      <c r="AI16" s="530"/>
      <c r="AJ16" s="530"/>
      <c r="AK16" s="530"/>
      <c r="AL16" s="530"/>
      <c r="AM16" s="502"/>
      <c r="AN16" s="502"/>
      <c r="AO16" s="502"/>
    </row>
    <row r="17" spans="1:25" s="25" customFormat="1" ht="12" customHeight="1" x14ac:dyDescent="0.25">
      <c r="A17" s="53"/>
      <c r="B17" s="7"/>
      <c r="C17" s="352"/>
      <c r="D17" s="3"/>
      <c r="E17" s="3"/>
      <c r="F17" s="128"/>
      <c r="G17" s="509"/>
      <c r="H17" s="509" t="str">
        <f>IF(D17="","",F17*G17)</f>
        <v/>
      </c>
      <c r="I17" s="476"/>
      <c r="J17" s="217"/>
      <c r="K17" s="218"/>
      <c r="L17" s="219"/>
      <c r="M17" s="220"/>
      <c r="Q17" s="546"/>
      <c r="S17" s="53"/>
      <c r="T17" s="53"/>
      <c r="U17" s="53"/>
      <c r="V17" s="53"/>
      <c r="W17" s="53"/>
      <c r="X17" s="53"/>
      <c r="Y17" s="53"/>
    </row>
    <row r="18" spans="1:25" s="25" customFormat="1" ht="22.5" customHeight="1" x14ac:dyDescent="0.25">
      <c r="A18" s="53"/>
      <c r="B18" s="29" t="str">
        <f>B11</f>
        <v>C6.2</v>
      </c>
      <c r="C18" s="28" t="str">
        <f>"TOTAL CARRIED FORWARD"&amp;IF(H18=H$1," TO SUMMARY")</f>
        <v>TOTAL CARRIED FORWARD TO SUMMARY</v>
      </c>
      <c r="D18" s="469"/>
      <c r="E18" s="469"/>
      <c r="F18" s="470"/>
      <c r="G18" s="471"/>
      <c r="H18" s="413">
        <f>SUM(H10:H17)</f>
        <v>0</v>
      </c>
      <c r="I18" s="518"/>
      <c r="J18" s="254"/>
      <c r="K18" s="254"/>
      <c r="L18" s="255"/>
      <c r="M18" s="256"/>
      <c r="O18" s="519"/>
      <c r="Q18" s="546"/>
      <c r="S18" s="53"/>
      <c r="T18" s="53"/>
      <c r="U18" s="53"/>
      <c r="V18" s="53"/>
      <c r="W18" s="53"/>
      <c r="X18" s="53"/>
      <c r="Y18" s="53"/>
    </row>
    <row r="19" spans="1:25" ht="12" customHeight="1" x14ac:dyDescent="0.25">
      <c r="L19" s="71"/>
    </row>
    <row r="20" spans="1:25" ht="12" customHeight="1" x14ac:dyDescent="0.25">
      <c r="L20" s="71"/>
    </row>
  </sheetData>
  <sheetProtection algorithmName="SHA-512" hashValue="F3jJjbjCB3G4Qc9espyA7bbYWLPnOr73JvZ1NU8zLy1wGOs1O5eBk5v/5RGHxdCvuMXXS6RriwsYl8VFpdbCjw==" saltValue="eacnVN4u+ikJNZVLBskTBQ==" spinCount="100000" sheet="1" objects="1" scenarios="1"/>
  <mergeCells count="3">
    <mergeCell ref="F3:H3"/>
    <mergeCell ref="F6:H6"/>
    <mergeCell ref="B7:H7"/>
  </mergeCells>
  <conditionalFormatting sqref="P16">
    <cfRule type="cellIs" dxfId="58" priority="3" stopIfTrue="1" operator="lessThan">
      <formula>0.005</formula>
    </cfRule>
  </conditionalFormatting>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2" id="{2404ABE5-DC4E-454C-81D5-2334C3C18860}">
            <xm:f>AND(Home!$C$8=FALSE,$D14&lt;&gt;"P C Sum",$D14&lt;&gt;"PC Sum",$D14&lt;&gt;"P Sum",$D14&lt;&gt;"Prov Sum")</xm:f>
            <x14:dxf>
              <font>
                <color theme="0"/>
              </font>
            </x14:dxf>
          </x14:cfRule>
          <xm:sqref>G14</xm:sqref>
        </x14:conditionalFormatting>
        <x14:conditionalFormatting xmlns:xm="http://schemas.microsoft.com/office/excel/2006/main">
          <x14:cfRule type="expression" priority="1" id="{FCA43556-98A6-46F5-B482-790284B05240}">
            <xm:f>AND(Home!$C$8=FALSE,$D16&lt;&gt;"P C Sum",$D16&lt;&gt;"PC Sum",$D16&lt;&gt;"P Sum",$D16&lt;&gt;"Prov Sum")</xm:f>
            <x14:dxf>
              <font>
                <color theme="0"/>
              </font>
            </x14:dxf>
          </x14:cfRule>
          <xm:sqref>G16</xm:sqref>
        </x14:conditionalFormatting>
        <x14:conditionalFormatting xmlns:xm="http://schemas.microsoft.com/office/excel/2006/main">
          <x14:cfRule type="expression" priority="4" id="{A63FB1E0-7778-48BA-9A4C-E477493F0E91}">
            <xm:f>AND(Home!$C$8=FALSE,$D10&lt;&gt;"P C Sum",$D10&lt;&gt;"PC Sum",$D10&lt;&gt;"P Sum",$D10&lt;&gt;"Prov Sum")</xm:f>
            <x14:dxf>
              <font>
                <color theme="0"/>
              </font>
            </x14:dxf>
          </x14:cfRule>
          <xm:sqref>G10:H13 G15:H15 G17:H18</xm:sqref>
        </x14:conditionalFormatting>
        <x14:conditionalFormatting xmlns:xm="http://schemas.microsoft.com/office/excel/2006/main">
          <x14:cfRule type="expression" priority="5" id="{D05C28CD-AF2F-4F82-B742-8C1E4BA3FD6E}">
            <xm:f>AND(Home!$C$8=FALSE,#REF!&lt;&gt;"P C Sum",#REF!&lt;&gt;"PC Sum",#REF!&lt;&gt;"P Sum",#REF!&lt;&gt;"Prov Sum")</xm:f>
            <x14:dxf>
              <font>
                <color theme="0"/>
              </font>
            </x14:dxf>
          </x14:cfRule>
          <xm:sqref>K18:M18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1">
    <tabColor theme="9" tint="0.59999389629810485"/>
  </sheetPr>
  <dimension ref="A1:AO28"/>
  <sheetViews>
    <sheetView showGridLines="0" view="pageBreakPreview" zoomScale="130" zoomScaleSheetLayoutView="130" workbookViewId="0">
      <pane xSplit="5" ySplit="2" topLeftCell="F3" activePane="bottomRight" state="frozen"/>
      <selection activeCell="F47" sqref="F47"/>
      <selection pane="topRight" activeCell="F47" sqref="F47"/>
      <selection pane="bottomLeft" activeCell="F47" sqref="F47"/>
      <selection pane="bottomRight" activeCell="J6" sqref="J6"/>
    </sheetView>
  </sheetViews>
  <sheetFormatPr defaultColWidth="8.81640625" defaultRowHeight="12" customHeight="1" x14ac:dyDescent="0.25"/>
  <cols>
    <col min="1" max="1" width="1.1796875" style="53" customWidth="1"/>
    <col min="2" max="2" width="7.453125" style="376" customWidth="1"/>
    <col min="3" max="3" width="41.1796875" style="377" customWidth="1"/>
    <col min="4" max="4" width="9" style="378" customWidth="1"/>
    <col min="5" max="5" width="4.453125" style="378" customWidth="1"/>
    <col min="6" max="6" width="13" style="378" customWidth="1"/>
    <col min="7" max="7" width="12.1796875" style="53" customWidth="1"/>
    <col min="8" max="8" width="16.6328125" style="53" customWidth="1"/>
    <col min="9" max="9" width="1.1796875" style="53" customWidth="1"/>
    <col min="10" max="10" width="13.54296875" style="57" customWidth="1"/>
    <col min="11" max="12" width="14.1796875" style="57" customWidth="1"/>
    <col min="13" max="13" width="14.1796875" style="23" customWidth="1"/>
    <col min="14" max="16" width="7.453125" style="25" customWidth="1"/>
    <col min="17" max="17" width="14.453125" style="25" customWidth="1"/>
    <col min="18" max="18" width="11.453125" style="25" bestFit="1" customWidth="1"/>
    <col min="19" max="19" width="5.453125" style="53" customWidth="1"/>
    <col min="20" max="16384" width="8.81640625" style="53"/>
  </cols>
  <sheetData>
    <row r="1" spans="1:41" ht="12" customHeight="1" x14ac:dyDescent="0.25">
      <c r="B1" s="54"/>
      <c r="C1" s="24" t="s">
        <v>61</v>
      </c>
      <c r="D1" s="25"/>
      <c r="E1" s="25"/>
      <c r="F1" s="26" t="s">
        <v>93</v>
      </c>
      <c r="G1" s="24">
        <v>1</v>
      </c>
      <c r="H1" s="55">
        <f>MAX(H2:H51)</f>
        <v>0</v>
      </c>
    </row>
    <row r="2" spans="1:41" ht="12" customHeight="1" x14ac:dyDescent="0.25">
      <c r="A2" s="23"/>
      <c r="B2" s="145"/>
      <c r="C2" s="61"/>
      <c r="D2" s="61"/>
      <c r="E2" s="61"/>
      <c r="F2" s="61"/>
      <c r="G2" s="61"/>
      <c r="H2" s="61"/>
      <c r="I2" s="26"/>
      <c r="J2" s="159"/>
      <c r="K2" s="159"/>
      <c r="L2" s="159"/>
      <c r="M2" s="159"/>
    </row>
    <row r="3" spans="1:41" s="23" customFormat="1" ht="11.5" x14ac:dyDescent="0.25">
      <c r="B3" s="309" t="str">
        <f>_Client1</f>
        <v>Province of KwaZulu-Natal</v>
      </c>
      <c r="C3" s="24"/>
      <c r="D3" s="25"/>
      <c r="F3" s="753" t="str">
        <f>"Contract No. "&amp;_ContractNo</f>
        <v>Contract No. ZNB02642/00000/00/HOD/INF/25/T</v>
      </c>
      <c r="G3" s="753"/>
      <c r="H3" s="753"/>
      <c r="J3" s="57"/>
      <c r="K3" s="57"/>
      <c r="L3" s="57"/>
      <c r="O3" s="25"/>
    </row>
    <row r="4" spans="1:41" s="23" customFormat="1" ht="11.5" x14ac:dyDescent="0.25">
      <c r="B4" s="310" t="str">
        <f>_Client2</f>
        <v>Department of Transport</v>
      </c>
      <c r="C4" s="24"/>
      <c r="D4" s="25"/>
      <c r="E4" s="25"/>
      <c r="F4" s="25"/>
      <c r="G4" s="25"/>
      <c r="H4" s="25"/>
      <c r="J4" s="57"/>
      <c r="K4" s="57"/>
      <c r="L4" s="57"/>
      <c r="N4" s="26"/>
      <c r="O4" s="25"/>
    </row>
    <row r="5" spans="1:41" ht="11.5" x14ac:dyDescent="0.25"/>
    <row r="6" spans="1:41" s="23" customFormat="1" ht="11.5" x14ac:dyDescent="0.25">
      <c r="B6" s="381" t="s">
        <v>21</v>
      </c>
      <c r="C6" s="58"/>
      <c r="D6" s="59"/>
      <c r="E6" s="59"/>
      <c r="F6" s="751" t="str">
        <f>"SECTION "&amp;B11</f>
        <v>SECTION C8.1</v>
      </c>
      <c r="G6" s="751"/>
      <c r="H6" s="752"/>
      <c r="I6" s="494"/>
      <c r="J6" s="160"/>
      <c r="K6" s="160"/>
      <c r="L6" s="160"/>
      <c r="M6" s="35"/>
      <c r="N6" s="25"/>
      <c r="O6" s="25"/>
      <c r="P6" s="25"/>
      <c r="Q6" s="25"/>
      <c r="R6" s="25"/>
    </row>
    <row r="7" spans="1:41" ht="25.2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495"/>
      <c r="J7" s="161"/>
      <c r="K7" s="161"/>
      <c r="L7" s="161"/>
      <c r="M7" s="162"/>
      <c r="S7" s="23"/>
      <c r="T7" s="23"/>
      <c r="U7" s="23"/>
      <c r="V7" s="23"/>
    </row>
    <row r="8" spans="1:41" ht="8.15" customHeight="1" x14ac:dyDescent="0.25">
      <c r="B8" s="496"/>
      <c r="C8" s="497"/>
      <c r="D8" s="497"/>
      <c r="E8" s="497"/>
      <c r="F8" s="497"/>
      <c r="G8" s="497"/>
      <c r="H8" s="498"/>
      <c r="I8" s="495"/>
      <c r="J8" s="161"/>
      <c r="K8" s="161"/>
      <c r="L8" s="161"/>
      <c r="M8" s="162"/>
      <c r="S8" s="23"/>
      <c r="T8" s="23"/>
      <c r="U8" s="23"/>
      <c r="V8" s="23"/>
    </row>
    <row r="9" spans="1:41" s="390" customFormat="1" ht="20.149999999999999" customHeight="1" x14ac:dyDescent="0.25">
      <c r="B9" s="499" t="s">
        <v>0</v>
      </c>
      <c r="C9" s="500" t="s">
        <v>1</v>
      </c>
      <c r="D9" s="500" t="s">
        <v>2</v>
      </c>
      <c r="E9" s="500" t="s">
        <v>30</v>
      </c>
      <c r="F9" s="500" t="s">
        <v>3</v>
      </c>
      <c r="G9" s="500" t="s">
        <v>4</v>
      </c>
      <c r="H9" s="500" t="s">
        <v>5</v>
      </c>
      <c r="I9" s="10"/>
      <c r="J9" s="159"/>
      <c r="K9" s="159"/>
      <c r="L9" s="159"/>
      <c r="M9" s="10"/>
      <c r="N9" s="25"/>
      <c r="O9" s="25"/>
      <c r="P9" s="25"/>
      <c r="Q9" s="25"/>
      <c r="R9" s="25"/>
      <c r="S9" s="23"/>
      <c r="T9" s="23"/>
      <c r="U9" s="23"/>
      <c r="V9" s="23"/>
    </row>
    <row r="10" spans="1:41" ht="11.5" x14ac:dyDescent="0.25">
      <c r="B10" s="7"/>
      <c r="C10" s="352"/>
      <c r="D10" s="1"/>
      <c r="E10" s="1"/>
      <c r="F10" s="70"/>
      <c r="G10" s="501"/>
      <c r="H10" s="501" t="str">
        <f t="shared" ref="H10:H24" si="0">IF(D10="","",F10*G10)</f>
        <v/>
      </c>
      <c r="I10" s="476"/>
      <c r="J10" s="217"/>
      <c r="K10" s="218"/>
      <c r="L10" s="219"/>
      <c r="M10" s="220"/>
      <c r="S10" s="23"/>
      <c r="T10" s="23"/>
      <c r="U10" s="23"/>
      <c r="V10" s="23"/>
    </row>
    <row r="11" spans="1:41" ht="12.5" x14ac:dyDescent="0.25">
      <c r="B11" s="421" t="s">
        <v>346</v>
      </c>
      <c r="C11" s="398" t="s">
        <v>85</v>
      </c>
      <c r="D11" s="1"/>
      <c r="E11" s="1"/>
      <c r="F11" s="70"/>
      <c r="G11" s="501"/>
      <c r="H11" s="501" t="str">
        <f t="shared" si="0"/>
        <v/>
      </c>
      <c r="I11" s="476"/>
      <c r="J11" s="217"/>
      <c r="K11" s="218"/>
      <c r="L11" s="219"/>
      <c r="M11" s="220"/>
      <c r="S11" s="23"/>
      <c r="T11" s="23"/>
      <c r="U11" s="23"/>
      <c r="V11" s="23"/>
      <c r="W11" s="502"/>
      <c r="X11" s="502"/>
      <c r="Y11" s="502"/>
      <c r="Z11" s="502"/>
      <c r="AA11" s="502"/>
      <c r="AB11" s="502"/>
      <c r="AC11" s="502"/>
      <c r="AD11" s="502"/>
      <c r="AE11" s="502"/>
      <c r="AF11" s="502"/>
      <c r="AG11" s="502"/>
      <c r="AH11" s="502"/>
      <c r="AI11" s="502"/>
      <c r="AJ11" s="502"/>
      <c r="AK11" s="502"/>
      <c r="AL11" s="502"/>
      <c r="AM11" s="502"/>
      <c r="AN11" s="502"/>
      <c r="AO11" s="502"/>
    </row>
    <row r="12" spans="1:41" ht="12.5" x14ac:dyDescent="0.25">
      <c r="B12" s="7"/>
      <c r="C12" s="352"/>
      <c r="D12" s="1"/>
      <c r="E12" s="1"/>
      <c r="F12" s="70"/>
      <c r="G12" s="501"/>
      <c r="H12" s="501" t="str">
        <f t="shared" si="0"/>
        <v/>
      </c>
      <c r="I12" s="476"/>
      <c r="J12" s="217"/>
      <c r="K12" s="218"/>
      <c r="L12" s="219"/>
      <c r="M12" s="220"/>
      <c r="S12" s="23"/>
      <c r="T12" s="23"/>
      <c r="U12" s="23"/>
      <c r="V12" s="23"/>
      <c r="W12" s="502"/>
      <c r="X12" s="502"/>
      <c r="Y12" s="502"/>
      <c r="Z12" s="502"/>
      <c r="AA12" s="502"/>
      <c r="AB12" s="502"/>
      <c r="AC12" s="502"/>
      <c r="AD12" s="502"/>
      <c r="AE12" s="502"/>
      <c r="AF12" s="502"/>
      <c r="AG12" s="502"/>
      <c r="AH12" s="502"/>
      <c r="AI12" s="502"/>
      <c r="AJ12" s="502"/>
      <c r="AK12" s="502"/>
      <c r="AL12" s="502"/>
      <c r="AM12" s="502"/>
      <c r="AN12" s="502"/>
      <c r="AO12" s="502"/>
    </row>
    <row r="13" spans="1:41" ht="12.5" x14ac:dyDescent="0.25">
      <c r="B13" s="7" t="s">
        <v>347</v>
      </c>
      <c r="C13" s="352" t="s">
        <v>86</v>
      </c>
      <c r="D13" s="1"/>
      <c r="E13" s="1"/>
      <c r="F13" s="70"/>
      <c r="G13" s="501"/>
      <c r="H13" s="501" t="str">
        <f t="shared" si="0"/>
        <v/>
      </c>
      <c r="I13" s="476"/>
      <c r="J13" s="217"/>
      <c r="K13" s="218"/>
      <c r="L13" s="219"/>
      <c r="M13" s="220"/>
      <c r="P13" s="503"/>
      <c r="Q13" s="503"/>
      <c r="R13" s="503"/>
      <c r="S13" s="503"/>
      <c r="T13" s="503"/>
      <c r="U13" s="503"/>
      <c r="V13" s="503"/>
      <c r="W13" s="502"/>
      <c r="X13" s="502"/>
      <c r="Y13" s="502"/>
      <c r="Z13" s="502"/>
      <c r="AA13" s="502"/>
      <c r="AB13" s="502"/>
      <c r="AC13" s="502"/>
      <c r="AD13" s="502"/>
      <c r="AE13" s="502"/>
      <c r="AF13" s="502"/>
      <c r="AG13" s="502"/>
      <c r="AH13" s="502"/>
      <c r="AI13" s="502"/>
      <c r="AJ13" s="502"/>
      <c r="AK13" s="502"/>
      <c r="AL13" s="502"/>
      <c r="AM13" s="502"/>
      <c r="AN13" s="502"/>
      <c r="AO13" s="502"/>
    </row>
    <row r="14" spans="1:41" ht="13.5" customHeight="1" x14ac:dyDescent="0.25">
      <c r="B14" s="596"/>
      <c r="C14" s="326"/>
      <c r="D14" s="3"/>
      <c r="E14" s="508"/>
      <c r="F14" s="128"/>
      <c r="G14" s="509"/>
      <c r="H14" s="523" t="str">
        <f>IF(D14="","",F14*G14)</f>
        <v/>
      </c>
      <c r="I14" s="401"/>
      <c r="J14" s="360"/>
      <c r="K14" s="218"/>
      <c r="L14" s="219"/>
      <c r="M14" s="220"/>
      <c r="W14" s="502"/>
      <c r="X14" s="502"/>
      <c r="Y14" s="502"/>
      <c r="Z14" s="502"/>
      <c r="AA14" s="502"/>
      <c r="AB14" s="502"/>
      <c r="AC14" s="502"/>
      <c r="AD14" s="502"/>
      <c r="AE14" s="502"/>
      <c r="AF14" s="502"/>
      <c r="AG14" s="502"/>
      <c r="AH14" s="502"/>
      <c r="AI14" s="502"/>
      <c r="AJ14" s="502"/>
      <c r="AK14" s="502"/>
      <c r="AL14" s="502"/>
      <c r="AM14" s="502"/>
      <c r="AN14" s="502"/>
      <c r="AO14" s="502"/>
    </row>
    <row r="15" spans="1:41" ht="12.75" customHeight="1" x14ac:dyDescent="0.25">
      <c r="B15" s="504" t="s">
        <v>348</v>
      </c>
      <c r="C15" s="352" t="s">
        <v>87</v>
      </c>
      <c r="D15" s="3" t="s">
        <v>17</v>
      </c>
      <c r="E15" s="3" t="s">
        <v>30</v>
      </c>
      <c r="F15" s="128">
        <v>54229</v>
      </c>
      <c r="G15" s="171">
        <v>0</v>
      </c>
      <c r="H15" s="290">
        <f>IF(D15="","",F15*G15)</f>
        <v>0</v>
      </c>
      <c r="I15" s="401"/>
      <c r="J15" s="360"/>
      <c r="K15" s="218"/>
      <c r="L15" s="219"/>
      <c r="M15" s="220"/>
      <c r="P15" s="511"/>
      <c r="Q15" s="512"/>
      <c r="R15" s="511"/>
      <c r="S15" s="511"/>
      <c r="T15" s="528"/>
      <c r="U15" s="514"/>
      <c r="V15" s="312"/>
      <c r="W15" s="502"/>
      <c r="X15" s="502"/>
      <c r="Y15" s="502"/>
      <c r="Z15" s="502"/>
      <c r="AA15" s="502"/>
      <c r="AB15" s="502"/>
      <c r="AC15" s="502"/>
      <c r="AD15" s="502"/>
      <c r="AE15" s="502"/>
      <c r="AF15" s="502"/>
      <c r="AG15" s="502"/>
      <c r="AH15" s="502"/>
      <c r="AI15" s="502"/>
      <c r="AJ15" s="502"/>
      <c r="AK15" s="502"/>
      <c r="AL15" s="502"/>
      <c r="AM15" s="502"/>
      <c r="AN15" s="502"/>
      <c r="AO15" s="502"/>
    </row>
    <row r="16" spans="1:41" ht="12.5" x14ac:dyDescent="0.25">
      <c r="B16" s="7"/>
      <c r="C16" s="352"/>
      <c r="D16" s="3"/>
      <c r="E16" s="3"/>
      <c r="F16" s="128"/>
      <c r="G16" s="509"/>
      <c r="H16" s="509" t="str">
        <f t="shared" si="0"/>
        <v/>
      </c>
      <c r="I16" s="476"/>
      <c r="J16" s="360"/>
      <c r="K16" s="218"/>
      <c r="L16" s="219"/>
      <c r="M16" s="220"/>
      <c r="P16" s="502"/>
      <c r="Q16" s="502"/>
      <c r="R16" s="502"/>
      <c r="S16" s="502"/>
      <c r="T16" s="502"/>
      <c r="U16" s="502"/>
      <c r="V16" s="502"/>
      <c r="W16" s="502"/>
      <c r="X16" s="502"/>
      <c r="Y16" s="502"/>
      <c r="Z16" s="502"/>
      <c r="AA16" s="502"/>
      <c r="AB16" s="502"/>
      <c r="AC16" s="502"/>
      <c r="AD16" s="515"/>
      <c r="AE16" s="516"/>
      <c r="AF16" s="514"/>
      <c r="AG16" s="516"/>
      <c r="AH16" s="514"/>
      <c r="AI16" s="516"/>
      <c r="AJ16" s="516"/>
      <c r="AK16" s="516"/>
      <c r="AL16" s="502"/>
      <c r="AM16" s="502"/>
      <c r="AN16" s="502"/>
      <c r="AO16" s="502"/>
    </row>
    <row r="17" spans="1:41" ht="12.5" x14ac:dyDescent="0.25">
      <c r="B17" s="504"/>
      <c r="C17" s="430"/>
      <c r="D17" s="3"/>
      <c r="E17" s="3"/>
      <c r="F17" s="128"/>
      <c r="G17" s="509"/>
      <c r="H17" s="523" t="str">
        <f t="shared" si="0"/>
        <v/>
      </c>
      <c r="I17" s="401"/>
      <c r="J17" s="360"/>
      <c r="K17" s="218"/>
      <c r="L17" s="219"/>
      <c r="M17" s="220"/>
      <c r="P17" s="502"/>
      <c r="Q17" s="312"/>
      <c r="R17" s="511"/>
      <c r="S17" s="511"/>
      <c r="T17" s="511"/>
      <c r="U17" s="511"/>
      <c r="V17" s="511"/>
      <c r="W17" s="502"/>
      <c r="X17" s="502"/>
      <c r="Y17" s="502"/>
      <c r="Z17" s="502"/>
      <c r="AA17" s="502"/>
      <c r="AB17" s="502"/>
      <c r="AC17" s="502"/>
      <c r="AD17" s="533"/>
      <c r="AE17" s="533"/>
      <c r="AF17" s="533"/>
      <c r="AG17" s="533"/>
      <c r="AH17" s="533"/>
      <c r="AI17" s="533"/>
      <c r="AJ17" s="533"/>
      <c r="AK17" s="533"/>
      <c r="AL17" s="530"/>
      <c r="AM17" s="502"/>
      <c r="AN17" s="502"/>
      <c r="AO17" s="502"/>
    </row>
    <row r="18" spans="1:41" ht="12.5" x14ac:dyDescent="0.25">
      <c r="B18" s="504" t="s">
        <v>349</v>
      </c>
      <c r="C18" s="352" t="s">
        <v>88</v>
      </c>
      <c r="D18" s="3"/>
      <c r="E18" s="3"/>
      <c r="F18" s="128"/>
      <c r="G18" s="509"/>
      <c r="H18" s="523"/>
      <c r="I18" s="401"/>
      <c r="J18" s="360"/>
      <c r="K18" s="218"/>
      <c r="L18" s="219"/>
      <c r="M18" s="220"/>
      <c r="P18" s="545"/>
      <c r="Q18" s="312"/>
      <c r="R18" s="511"/>
      <c r="S18" s="511"/>
      <c r="T18" s="511"/>
      <c r="U18" s="511"/>
      <c r="V18" s="511"/>
      <c r="W18" s="502"/>
      <c r="X18" s="502"/>
      <c r="Y18" s="502"/>
      <c r="Z18" s="502"/>
      <c r="AA18" s="502"/>
      <c r="AB18" s="502"/>
      <c r="AC18" s="502"/>
      <c r="AD18" s="534"/>
      <c r="AE18" s="535"/>
      <c r="AF18" s="535"/>
      <c r="AG18" s="535"/>
      <c r="AH18" s="536"/>
      <c r="AI18" s="535"/>
      <c r="AJ18" s="597"/>
      <c r="AK18" s="349"/>
      <c r="AL18" s="530"/>
      <c r="AM18" s="502"/>
      <c r="AN18" s="502"/>
      <c r="AO18" s="502"/>
    </row>
    <row r="19" spans="1:41" ht="12.5" x14ac:dyDescent="0.25">
      <c r="B19" s="504"/>
      <c r="C19" s="352"/>
      <c r="D19" s="3"/>
      <c r="E19" s="3"/>
      <c r="F19" s="128"/>
      <c r="G19" s="509"/>
      <c r="H19" s="523"/>
      <c r="I19" s="401"/>
      <c r="J19" s="360"/>
      <c r="K19" s="218"/>
      <c r="L19" s="219"/>
      <c r="M19" s="220"/>
      <c r="P19" s="502"/>
      <c r="Q19" s="312"/>
      <c r="R19" s="511"/>
      <c r="S19" s="511"/>
      <c r="T19" s="511"/>
      <c r="U19" s="511"/>
      <c r="V19" s="511"/>
      <c r="W19" s="502"/>
      <c r="X19" s="502"/>
      <c r="Y19" s="502"/>
      <c r="Z19" s="502"/>
      <c r="AA19" s="502"/>
      <c r="AB19" s="502"/>
      <c r="AC19" s="502"/>
      <c r="AD19" s="534"/>
      <c r="AE19" s="535"/>
      <c r="AF19" s="535"/>
      <c r="AG19" s="535"/>
      <c r="AH19" s="536"/>
      <c r="AI19" s="535"/>
      <c r="AJ19" s="597"/>
      <c r="AK19" s="349"/>
      <c r="AL19" s="530"/>
      <c r="AM19" s="502"/>
      <c r="AN19" s="502"/>
      <c r="AO19" s="502"/>
    </row>
    <row r="20" spans="1:41" ht="12.5" x14ac:dyDescent="0.25">
      <c r="B20" s="504" t="s">
        <v>350</v>
      </c>
      <c r="C20" s="352" t="s">
        <v>582</v>
      </c>
      <c r="D20" s="3" t="s">
        <v>72</v>
      </c>
      <c r="E20" s="3" t="s">
        <v>30</v>
      </c>
      <c r="F20" s="128">
        <v>1356</v>
      </c>
      <c r="G20" s="171">
        <v>0</v>
      </c>
      <c r="H20" s="290">
        <f>IF(D20="","",F20*G20)</f>
        <v>0</v>
      </c>
      <c r="I20" s="401"/>
      <c r="J20" s="598"/>
      <c r="K20" s="521"/>
      <c r="L20" s="522"/>
      <c r="M20" s="220"/>
      <c r="P20" s="502"/>
      <c r="Q20" s="312"/>
      <c r="R20" s="511"/>
      <c r="S20" s="511"/>
      <c r="T20" s="511"/>
      <c r="U20" s="511"/>
      <c r="V20" s="511"/>
      <c r="W20" s="502"/>
      <c r="X20" s="502"/>
      <c r="Y20" s="502"/>
      <c r="Z20" s="502"/>
      <c r="AA20" s="502"/>
      <c r="AB20" s="502"/>
      <c r="AC20" s="502"/>
      <c r="AD20" s="534"/>
      <c r="AE20" s="535"/>
      <c r="AF20" s="535"/>
      <c r="AG20" s="535"/>
      <c r="AH20" s="536"/>
      <c r="AI20" s="535"/>
      <c r="AJ20" s="597"/>
      <c r="AK20" s="349"/>
      <c r="AL20" s="530"/>
      <c r="AM20" s="502"/>
      <c r="AN20" s="502"/>
      <c r="AO20" s="502"/>
    </row>
    <row r="21" spans="1:41" ht="12.5" x14ac:dyDescent="0.25">
      <c r="B21" s="599"/>
      <c r="C21" s="352"/>
      <c r="D21" s="129"/>
      <c r="E21" s="129"/>
      <c r="F21" s="128"/>
      <c r="G21" s="509"/>
      <c r="H21" s="523" t="str">
        <f t="shared" si="0"/>
        <v/>
      </c>
      <c r="I21" s="401"/>
      <c r="J21" s="360"/>
      <c r="K21" s="218"/>
      <c r="L21" s="219"/>
      <c r="M21" s="220"/>
      <c r="P21" s="502"/>
      <c r="Q21" s="312"/>
      <c r="R21" s="511"/>
      <c r="S21" s="511"/>
      <c r="T21" s="511"/>
      <c r="U21" s="511"/>
      <c r="V21" s="511"/>
      <c r="W21" s="502"/>
      <c r="X21" s="502"/>
      <c r="Y21" s="502"/>
      <c r="Z21" s="502"/>
      <c r="AA21" s="502"/>
      <c r="AB21" s="502"/>
      <c r="AC21" s="502"/>
      <c r="AD21" s="530"/>
      <c r="AE21" s="530"/>
      <c r="AF21" s="530"/>
      <c r="AG21" s="530"/>
      <c r="AH21" s="530"/>
      <c r="AI21" s="530"/>
      <c r="AJ21" s="600"/>
      <c r="AK21" s="530"/>
      <c r="AL21" s="530"/>
      <c r="AM21" s="502"/>
      <c r="AN21" s="502"/>
      <c r="AO21" s="502"/>
    </row>
    <row r="22" spans="1:41" ht="23" x14ac:dyDescent="0.25">
      <c r="B22" s="504" t="s">
        <v>351</v>
      </c>
      <c r="C22" s="352" t="s">
        <v>352</v>
      </c>
      <c r="D22" s="3" t="s">
        <v>17</v>
      </c>
      <c r="E22" s="3" t="s">
        <v>30</v>
      </c>
      <c r="F22" s="128">
        <v>1425</v>
      </c>
      <c r="G22" s="171">
        <v>0</v>
      </c>
      <c r="H22" s="290">
        <f t="shared" si="0"/>
        <v>0</v>
      </c>
      <c r="I22" s="401"/>
      <c r="J22" s="360"/>
      <c r="K22" s="218"/>
      <c r="L22" s="219"/>
      <c r="M22" s="220"/>
      <c r="P22" s="502"/>
      <c r="Q22" s="312"/>
      <c r="R22" s="511"/>
      <c r="S22" s="511"/>
      <c r="T22" s="511"/>
      <c r="U22" s="511"/>
      <c r="V22" s="511"/>
      <c r="W22" s="502"/>
      <c r="X22" s="502"/>
      <c r="Y22" s="502"/>
      <c r="Z22" s="502"/>
      <c r="AA22" s="502"/>
      <c r="AB22" s="502"/>
      <c r="AC22" s="502"/>
      <c r="AD22" s="530"/>
      <c r="AE22" s="530"/>
      <c r="AF22" s="530"/>
      <c r="AG22" s="530"/>
      <c r="AH22" s="530"/>
      <c r="AI22" s="530"/>
      <c r="AJ22" s="600"/>
      <c r="AK22" s="530"/>
      <c r="AL22" s="530"/>
      <c r="AM22" s="502"/>
      <c r="AN22" s="502"/>
      <c r="AO22" s="502"/>
    </row>
    <row r="23" spans="1:41" ht="12.5" x14ac:dyDescent="0.25">
      <c r="B23" s="539"/>
      <c r="C23" s="352"/>
      <c r="D23" s="129"/>
      <c r="E23" s="129"/>
      <c r="F23" s="128"/>
      <c r="G23" s="540"/>
      <c r="H23" s="523" t="str">
        <f t="shared" si="0"/>
        <v/>
      </c>
      <c r="I23" s="401"/>
      <c r="J23" s="217"/>
      <c r="K23" s="218"/>
      <c r="L23" s="219"/>
      <c r="M23" s="220"/>
      <c r="P23" s="502"/>
      <c r="Q23" s="502"/>
      <c r="R23" s="502"/>
      <c r="S23" s="502"/>
      <c r="T23" s="502"/>
      <c r="U23" s="502"/>
      <c r="V23" s="502"/>
      <c r="W23" s="502"/>
      <c r="X23" s="502"/>
      <c r="Y23" s="502"/>
      <c r="Z23" s="502"/>
      <c r="AA23" s="502"/>
      <c r="AB23" s="502"/>
      <c r="AC23" s="502"/>
      <c r="AD23" s="502"/>
      <c r="AE23" s="502"/>
      <c r="AF23" s="502"/>
      <c r="AG23" s="502"/>
      <c r="AH23" s="502"/>
      <c r="AI23" s="502"/>
      <c r="AJ23" s="502"/>
      <c r="AK23" s="502"/>
      <c r="AL23" s="502"/>
      <c r="AM23" s="502"/>
      <c r="AN23" s="502"/>
      <c r="AO23" s="502"/>
    </row>
    <row r="24" spans="1:41" s="25" customFormat="1" ht="12" customHeight="1" x14ac:dyDescent="0.25">
      <c r="A24" s="53"/>
      <c r="B24" s="7"/>
      <c r="C24" s="352"/>
      <c r="D24" s="3"/>
      <c r="E24" s="3"/>
      <c r="F24" s="128"/>
      <c r="G24" s="509"/>
      <c r="H24" s="509" t="str">
        <f t="shared" si="0"/>
        <v/>
      </c>
      <c r="I24" s="476"/>
      <c r="J24" s="217"/>
      <c r="K24" s="218"/>
      <c r="L24" s="219"/>
      <c r="M24" s="220"/>
      <c r="Q24" s="546"/>
      <c r="S24" s="53"/>
      <c r="T24" s="53"/>
      <c r="U24" s="53"/>
      <c r="V24" s="53"/>
      <c r="W24" s="53"/>
      <c r="X24" s="53"/>
      <c r="Y24" s="53"/>
    </row>
    <row r="25" spans="1:41" s="25" customFormat="1" ht="22.5" customHeight="1" x14ac:dyDescent="0.25">
      <c r="A25" s="53"/>
      <c r="B25" s="29" t="str">
        <f>B11</f>
        <v>C8.1</v>
      </c>
      <c r="C25" s="28" t="str">
        <f>"TOTAL CARRIED FORWARD"&amp;IF(H25=H$1," TO SUMMARY")</f>
        <v>TOTAL CARRIED FORWARD TO SUMMARY</v>
      </c>
      <c r="D25" s="469"/>
      <c r="E25" s="469"/>
      <c r="F25" s="470"/>
      <c r="G25" s="471"/>
      <c r="H25" s="413">
        <f>SUM(H10:H24)</f>
        <v>0</v>
      </c>
      <c r="I25" s="518"/>
      <c r="J25" s="254"/>
      <c r="K25" s="254"/>
      <c r="L25" s="255"/>
      <c r="M25" s="256"/>
      <c r="Q25" s="546"/>
      <c r="S25" s="53"/>
      <c r="T25" s="53"/>
      <c r="U25" s="53"/>
      <c r="V25" s="53"/>
      <c r="W25" s="53"/>
      <c r="X25" s="53"/>
      <c r="Y25" s="53"/>
    </row>
    <row r="26" spans="1:41" ht="6" customHeight="1" x14ac:dyDescent="0.25">
      <c r="L26" s="71"/>
    </row>
    <row r="27" spans="1:41" ht="12" customHeight="1" x14ac:dyDescent="0.25">
      <c r="L27" s="71"/>
    </row>
    <row r="28" spans="1:41" ht="12" customHeight="1" x14ac:dyDescent="0.25">
      <c r="L28" s="71"/>
    </row>
  </sheetData>
  <sheetProtection algorithmName="SHA-512" hashValue="nchB5i1kn6nUEqkpJLEB56gZge8Pj306mr3ePojEz7JP7krAbOl+sMu3+quZD6aC3OFFTg3zLCWxUoXhJQrpRA==" saltValue="L/Vua7YHBOS4tgPB0a8jGQ==" spinCount="100000" sheet="1" objects="1" scenarios="1"/>
  <mergeCells count="3">
    <mergeCell ref="F3:H3"/>
    <mergeCell ref="F6:H6"/>
    <mergeCell ref="B7:H7"/>
  </mergeCells>
  <conditionalFormatting sqref="P16:P23">
    <cfRule type="cellIs" dxfId="55" priority="4" stopIfTrue="1" operator="lessThan">
      <formula>0.005</formula>
    </cfRule>
  </conditionalFormatting>
  <pageMargins left="0.43307086614173229" right="0.31496062992125984" top="0.43307086614173229" bottom="0.62992125984251968" header="0.35433070866141736" footer="0.31496062992125984"/>
  <pageSetup paperSize="9" scale="91"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ED627837-52D6-48AD-8B41-CF851E2D3BD6}">
            <xm:f>AND(Home!$C$8=FALSE,$D10&lt;&gt;"P C Sum",$D10&lt;&gt;"PC Sum",$D10&lt;&gt;"P Sum",$D10&lt;&gt;"Prov Sum")</xm:f>
            <x14:dxf>
              <font>
                <color theme="0"/>
              </font>
            </x14:dxf>
          </x14:cfRule>
          <xm:sqref>G10:H25</xm:sqref>
        </x14:conditionalFormatting>
        <x14:conditionalFormatting xmlns:xm="http://schemas.microsoft.com/office/excel/2006/main">
          <x14:cfRule type="expression" priority="8" id="{F073788A-B56A-4501-A1F0-7FF0D9F85A5A}">
            <xm:f>AND(Home!$C$8=FALSE,#REF!&lt;&gt;"P C Sum",#REF!&lt;&gt;"PC Sum",#REF!&lt;&gt;"P Sum",#REF!&lt;&gt;"Prov Sum")</xm:f>
            <x14:dxf>
              <font>
                <color theme="0"/>
              </font>
            </x14:dxf>
          </x14:cfRule>
          <xm:sqref>K25:M25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2E4A1-CEDF-41BF-8414-BB8C6E575116}">
  <sheetPr codeName="Sheet12">
    <tabColor theme="9" tint="0.59999389629810485"/>
  </sheetPr>
  <dimension ref="A1:AP48"/>
  <sheetViews>
    <sheetView showGridLines="0" view="pageBreakPreview" zoomScale="115" zoomScaleSheetLayoutView="115" workbookViewId="0">
      <pane xSplit="5" ySplit="2" topLeftCell="F3" activePane="bottomRight" state="frozen"/>
      <selection activeCell="F47" sqref="F47"/>
      <selection pane="topRight" activeCell="F47" sqref="F47"/>
      <selection pane="bottomLeft" activeCell="F47" sqref="F47"/>
      <selection pane="bottomRight" activeCell="J7" sqref="J7"/>
    </sheetView>
  </sheetViews>
  <sheetFormatPr defaultColWidth="8.81640625" defaultRowHeight="12" customHeight="1" x14ac:dyDescent="0.25"/>
  <cols>
    <col min="1" max="1" width="1.1796875" style="53" customWidth="1"/>
    <col min="2" max="2" width="9.6328125" style="376" customWidth="1"/>
    <col min="3" max="3" width="41.1796875" style="377" customWidth="1"/>
    <col min="4" max="4" width="9" style="378" customWidth="1"/>
    <col min="5" max="5" width="4.453125" style="378" customWidth="1"/>
    <col min="6" max="6" width="12.6328125" style="378" customWidth="1"/>
    <col min="7" max="7" width="12.1796875" style="53" customWidth="1"/>
    <col min="8" max="8" width="16.54296875" style="53" customWidth="1"/>
    <col min="9" max="9" width="1.1796875" style="53" customWidth="1"/>
    <col min="10" max="10" width="13.54296875" style="57" customWidth="1"/>
    <col min="11" max="12" width="14.1796875" style="57" customWidth="1"/>
    <col min="13" max="14" width="14.1796875" style="23" customWidth="1"/>
    <col min="15" max="15" width="5" style="25" bestFit="1" customWidth="1"/>
    <col min="16" max="17" width="7.453125" style="25" customWidth="1"/>
    <col min="18" max="18" width="14.453125" style="25" customWidth="1"/>
    <col min="19" max="19" width="11.453125" style="25" bestFit="1" customWidth="1"/>
    <col min="20" max="20" width="4.08984375" style="53" customWidth="1"/>
    <col min="21" max="30" width="8.81640625" style="53"/>
    <col min="31" max="31" width="31.54296875" style="53" customWidth="1"/>
    <col min="32" max="16384" width="8.81640625" style="53"/>
  </cols>
  <sheetData>
    <row r="1" spans="1:42" ht="12" customHeight="1" x14ac:dyDescent="0.25">
      <c r="B1" s="54"/>
      <c r="C1" s="24" t="s">
        <v>61</v>
      </c>
      <c r="D1" s="25"/>
      <c r="E1" s="25"/>
      <c r="F1" s="26" t="s">
        <v>93</v>
      </c>
      <c r="G1" s="24">
        <v>1</v>
      </c>
      <c r="H1" s="55">
        <f>MAX(H2:H48)</f>
        <v>0</v>
      </c>
    </row>
    <row r="2" spans="1:42" ht="12" customHeight="1" x14ac:dyDescent="0.25">
      <c r="A2" s="23"/>
      <c r="B2" s="145"/>
      <c r="C2" s="61"/>
      <c r="D2" s="61"/>
      <c r="E2" s="61"/>
      <c r="F2" s="61"/>
      <c r="G2" s="61"/>
      <c r="H2" s="61"/>
      <c r="I2" s="26"/>
      <c r="J2" s="159"/>
      <c r="K2" s="159"/>
      <c r="L2" s="159"/>
      <c r="M2" s="159"/>
      <c r="N2" s="159"/>
    </row>
    <row r="3" spans="1:42" s="23" customFormat="1" ht="11.5" x14ac:dyDescent="0.25">
      <c r="B3" s="309" t="str">
        <f>_Client1</f>
        <v>Province of KwaZulu-Natal</v>
      </c>
      <c r="C3" s="24"/>
      <c r="D3" s="25"/>
      <c r="F3" s="753" t="str">
        <f>"Contract No. "&amp;_ContractNo</f>
        <v>Contract No. ZNB02642/00000/00/HOD/INF/25/T</v>
      </c>
      <c r="G3" s="753"/>
      <c r="H3" s="753"/>
      <c r="J3" s="57"/>
      <c r="K3" s="57"/>
      <c r="L3" s="57"/>
      <c r="P3" s="25"/>
    </row>
    <row r="4" spans="1:42" s="23" customFormat="1" ht="11.5" x14ac:dyDescent="0.25">
      <c r="B4" s="310" t="str">
        <f>_Client2</f>
        <v>Department of Transport</v>
      </c>
      <c r="C4" s="24"/>
      <c r="D4" s="25"/>
      <c r="E4" s="25"/>
      <c r="F4" s="25"/>
      <c r="G4" s="25"/>
      <c r="H4" s="25"/>
      <c r="J4" s="57"/>
      <c r="K4" s="57"/>
      <c r="L4" s="57"/>
      <c r="O4" s="26"/>
      <c r="P4" s="25"/>
    </row>
    <row r="5" spans="1:42" ht="11.5" x14ac:dyDescent="0.25"/>
    <row r="6" spans="1:42" s="23" customFormat="1" ht="11.5" x14ac:dyDescent="0.25">
      <c r="B6" s="381" t="s">
        <v>21</v>
      </c>
      <c r="C6" s="58"/>
      <c r="D6" s="59"/>
      <c r="E6" s="59"/>
      <c r="F6" s="751" t="str">
        <f>"SECTION "&amp;B11</f>
        <v>SECTION C10.1</v>
      </c>
      <c r="G6" s="751"/>
      <c r="H6" s="752"/>
      <c r="I6" s="60"/>
      <c r="J6" s="160"/>
      <c r="K6" s="160"/>
      <c r="L6" s="160"/>
      <c r="M6" s="35"/>
      <c r="N6" s="35"/>
      <c r="O6" s="25"/>
      <c r="P6" s="25"/>
      <c r="Q6" s="25"/>
      <c r="R6" s="25"/>
      <c r="S6" s="25"/>
    </row>
    <row r="7" spans="1:42" ht="24.6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09"/>
      <c r="J7" s="161"/>
      <c r="K7" s="161"/>
      <c r="L7" s="161"/>
      <c r="M7" s="162"/>
      <c r="N7" s="162"/>
    </row>
    <row r="8" spans="1:42" ht="8.15" customHeight="1" x14ac:dyDescent="0.25">
      <c r="B8" s="496"/>
      <c r="C8" s="497"/>
      <c r="D8" s="497"/>
      <c r="E8" s="497"/>
      <c r="F8" s="497"/>
      <c r="G8" s="497"/>
      <c r="H8" s="498"/>
      <c r="I8" s="309"/>
      <c r="J8" s="161"/>
      <c r="K8" s="161"/>
      <c r="L8" s="161"/>
      <c r="M8" s="162"/>
      <c r="N8" s="162"/>
    </row>
    <row r="9" spans="1:42" s="390" customFormat="1" ht="20.149999999999999" customHeight="1" x14ac:dyDescent="0.25">
      <c r="B9" s="499" t="s">
        <v>0</v>
      </c>
      <c r="C9" s="500" t="s">
        <v>1</v>
      </c>
      <c r="D9" s="500" t="s">
        <v>2</v>
      </c>
      <c r="E9" s="500" t="s">
        <v>30</v>
      </c>
      <c r="F9" s="500" t="s">
        <v>3</v>
      </c>
      <c r="G9" s="500" t="s">
        <v>4</v>
      </c>
      <c r="H9" s="500" t="s">
        <v>5</v>
      </c>
      <c r="I9" s="10"/>
      <c r="J9" s="159"/>
      <c r="K9" s="159"/>
      <c r="L9" s="159"/>
      <c r="M9" s="10"/>
      <c r="N9" s="601"/>
      <c r="O9" s="602"/>
      <c r="P9" s="603"/>
      <c r="Q9" s="603"/>
      <c r="R9" s="603"/>
      <c r="S9" s="603"/>
      <c r="T9" s="603"/>
      <c r="U9" s="603"/>
      <c r="V9" s="603"/>
    </row>
    <row r="10" spans="1:42" ht="12.5" x14ac:dyDescent="0.25">
      <c r="B10" s="7"/>
      <c r="C10" s="352"/>
      <c r="D10" s="1"/>
      <c r="E10" s="1"/>
      <c r="F10" s="12"/>
      <c r="G10" s="501"/>
      <c r="H10" s="427" t="str">
        <f t="shared" ref="H10:H41" si="0">IF(D10="","",F10*G10)</f>
        <v/>
      </c>
      <c r="I10" s="476"/>
      <c r="J10" s="217"/>
      <c r="K10" s="218"/>
      <c r="L10" s="219"/>
      <c r="M10" s="220"/>
      <c r="N10" s="220"/>
      <c r="O10" s="604"/>
      <c r="P10" s="603"/>
      <c r="Q10" s="4"/>
      <c r="R10" s="4"/>
      <c r="S10" s="4"/>
      <c r="T10" s="4"/>
      <c r="U10" s="4"/>
      <c r="V10" s="4"/>
    </row>
    <row r="11" spans="1:42" ht="12.5" x14ac:dyDescent="0.25">
      <c r="B11" s="421" t="s">
        <v>532</v>
      </c>
      <c r="C11" s="398" t="s">
        <v>533</v>
      </c>
      <c r="D11" s="1"/>
      <c r="E11" s="1"/>
      <c r="F11" s="12"/>
      <c r="G11" s="501"/>
      <c r="H11" s="427" t="str">
        <f t="shared" si="0"/>
        <v/>
      </c>
      <c r="I11" s="476"/>
      <c r="J11" s="217"/>
      <c r="K11" s="218"/>
      <c r="L11" s="219"/>
      <c r="M11" s="220"/>
      <c r="N11" s="601"/>
      <c r="O11" s="602"/>
      <c r="P11" s="603"/>
      <c r="Q11" s="603"/>
      <c r="R11" s="4"/>
      <c r="S11" s="4"/>
      <c r="T11" s="4"/>
      <c r="U11" s="4"/>
      <c r="V11" s="4"/>
      <c r="W11" s="502"/>
      <c r="X11" s="502"/>
      <c r="Y11" s="502"/>
      <c r="Z11" s="502"/>
      <c r="AA11" s="502"/>
      <c r="AB11" s="502"/>
      <c r="AC11" s="502"/>
      <c r="AD11" s="502"/>
      <c r="AE11" s="502"/>
      <c r="AF11" s="502"/>
      <c r="AG11" s="502"/>
      <c r="AH11" s="502"/>
      <c r="AI11" s="502"/>
      <c r="AJ11" s="502"/>
      <c r="AK11" s="502"/>
      <c r="AL11" s="502"/>
      <c r="AM11" s="502"/>
      <c r="AN11" s="502"/>
      <c r="AO11" s="502"/>
      <c r="AP11" s="502"/>
    </row>
    <row r="12" spans="1:42" s="615" customFormat="1" ht="12.5" x14ac:dyDescent="0.25">
      <c r="A12" s="53"/>
      <c r="B12" s="504"/>
      <c r="C12" s="352"/>
      <c r="D12" s="1"/>
      <c r="E12" s="1"/>
      <c r="F12" s="605"/>
      <c r="G12" s="501"/>
      <c r="H12" s="427" t="str">
        <f t="shared" si="0"/>
        <v/>
      </c>
      <c r="I12" s="524"/>
      <c r="J12" s="606"/>
      <c r="K12" s="607"/>
      <c r="L12" s="608"/>
      <c r="M12" s="609"/>
      <c r="N12" s="601"/>
      <c r="O12" s="602"/>
      <c r="P12" s="603"/>
      <c r="Q12" s="603"/>
      <c r="R12" s="610"/>
      <c r="S12" s="611"/>
      <c r="T12" s="611"/>
      <c r="U12" s="611"/>
      <c r="V12" s="611"/>
      <c r="W12" s="612"/>
      <c r="X12" s="613"/>
      <c r="Y12" s="613"/>
      <c r="Z12" s="613"/>
      <c r="AA12" s="613"/>
      <c r="AB12" s="613"/>
      <c r="AC12" s="613"/>
      <c r="AD12" s="613"/>
      <c r="AE12" s="614"/>
      <c r="AF12" s="614"/>
      <c r="AG12" s="614"/>
      <c r="AH12" s="614"/>
      <c r="AI12" s="614"/>
      <c r="AJ12" s="614"/>
      <c r="AK12" s="614"/>
      <c r="AL12" s="614"/>
      <c r="AM12" s="614"/>
      <c r="AN12" s="613"/>
      <c r="AO12" s="613"/>
      <c r="AP12" s="613"/>
    </row>
    <row r="13" spans="1:42" s="615" customFormat="1" ht="23" x14ac:dyDescent="0.25">
      <c r="A13" s="53"/>
      <c r="B13" s="504" t="s">
        <v>534</v>
      </c>
      <c r="C13" s="352" t="s">
        <v>536</v>
      </c>
      <c r="D13" s="1"/>
      <c r="E13" s="1"/>
      <c r="F13" s="605"/>
      <c r="G13" s="501"/>
      <c r="H13" s="427" t="str">
        <f t="shared" si="0"/>
        <v/>
      </c>
      <c r="I13" s="524"/>
      <c r="J13" s="606"/>
      <c r="K13" s="607"/>
      <c r="L13" s="608"/>
      <c r="M13" s="609"/>
      <c r="N13" s="601"/>
      <c r="O13" s="602"/>
      <c r="P13" s="603"/>
      <c r="Q13" s="603"/>
      <c r="R13" s="610"/>
      <c r="S13" s="611"/>
      <c r="T13" s="611"/>
      <c r="U13" s="611"/>
      <c r="V13" s="611"/>
      <c r="W13" s="612"/>
      <c r="X13" s="613"/>
      <c r="Y13" s="613"/>
      <c r="Z13" s="613"/>
      <c r="AA13" s="613"/>
      <c r="AB13" s="613"/>
      <c r="AC13" s="613"/>
      <c r="AD13" s="613"/>
      <c r="AE13" s="614"/>
      <c r="AF13" s="614"/>
      <c r="AG13" s="614"/>
      <c r="AH13" s="614"/>
      <c r="AI13" s="614"/>
      <c r="AJ13" s="614"/>
      <c r="AK13" s="614"/>
      <c r="AL13" s="614"/>
      <c r="AM13" s="614"/>
      <c r="AN13" s="613"/>
      <c r="AO13" s="613"/>
      <c r="AP13" s="613"/>
    </row>
    <row r="14" spans="1:42" s="615" customFormat="1" ht="12.5" x14ac:dyDescent="0.25">
      <c r="A14" s="53"/>
      <c r="B14" s="504"/>
      <c r="C14" s="352"/>
      <c r="D14" s="1"/>
      <c r="E14" s="1"/>
      <c r="F14" s="605"/>
      <c r="G14" s="501"/>
      <c r="H14" s="427" t="str">
        <f t="shared" si="0"/>
        <v/>
      </c>
      <c r="I14" s="524"/>
      <c r="J14" s="606"/>
      <c r="K14" s="607"/>
      <c r="L14" s="608"/>
      <c r="M14" s="609"/>
      <c r="N14" s="601"/>
      <c r="O14" s="602"/>
      <c r="P14" s="603"/>
      <c r="Q14" s="603"/>
      <c r="R14" s="610"/>
      <c r="S14" s="611"/>
      <c r="T14" s="611"/>
      <c r="U14" s="611"/>
      <c r="V14" s="611"/>
      <c r="W14" s="612"/>
      <c r="X14" s="613"/>
      <c r="Y14" s="613"/>
      <c r="Z14" s="613"/>
      <c r="AA14" s="613"/>
      <c r="AB14" s="613"/>
      <c r="AC14" s="613"/>
      <c r="AD14" s="613"/>
      <c r="AE14" s="614"/>
      <c r="AF14" s="614"/>
      <c r="AG14" s="614"/>
      <c r="AH14" s="614"/>
      <c r="AI14" s="614"/>
      <c r="AJ14" s="614"/>
      <c r="AK14" s="614"/>
      <c r="AL14" s="614"/>
      <c r="AM14" s="614"/>
      <c r="AN14" s="613"/>
      <c r="AO14" s="613"/>
      <c r="AP14" s="613"/>
    </row>
    <row r="15" spans="1:42" s="615" customFormat="1" ht="12.75" customHeight="1" x14ac:dyDescent="0.25">
      <c r="A15" s="53"/>
      <c r="B15" s="504" t="s">
        <v>535</v>
      </c>
      <c r="C15" s="761" t="s">
        <v>537</v>
      </c>
      <c r="D15" s="3" t="s">
        <v>196</v>
      </c>
      <c r="E15" s="3"/>
      <c r="F15" s="616">
        <v>56964</v>
      </c>
      <c r="G15" s="171">
        <v>0</v>
      </c>
      <c r="H15" s="290">
        <f t="shared" si="0"/>
        <v>0</v>
      </c>
      <c r="I15" s="524"/>
      <c r="J15" s="606"/>
      <c r="K15" s="607"/>
      <c r="L15" s="608"/>
      <c r="M15" s="609"/>
      <c r="N15" s="601"/>
      <c r="O15" s="602"/>
      <c r="P15" s="603"/>
      <c r="Q15" s="603"/>
      <c r="R15" s="610"/>
      <c r="S15" s="611"/>
      <c r="T15" s="611"/>
      <c r="U15" s="611"/>
      <c r="V15" s="611"/>
      <c r="W15" s="612"/>
      <c r="X15" s="613"/>
      <c r="Y15" s="613"/>
      <c r="Z15" s="613"/>
      <c r="AA15" s="613"/>
      <c r="AB15" s="613"/>
      <c r="AC15" s="613"/>
      <c r="AD15" s="613"/>
      <c r="AE15" s="614"/>
      <c r="AF15" s="614"/>
      <c r="AG15" s="614"/>
      <c r="AH15" s="614"/>
      <c r="AI15" s="614"/>
      <c r="AJ15" s="614"/>
      <c r="AK15" s="614"/>
      <c r="AL15" s="614"/>
      <c r="AM15" s="614"/>
      <c r="AN15" s="613"/>
      <c r="AO15" s="613"/>
      <c r="AP15" s="613"/>
    </row>
    <row r="16" spans="1:42" s="615" customFormat="1" ht="12.5" x14ac:dyDescent="0.25">
      <c r="A16" s="53"/>
      <c r="B16" s="504"/>
      <c r="C16" s="761"/>
      <c r="D16" s="3"/>
      <c r="E16" s="3"/>
      <c r="F16" s="617"/>
      <c r="G16" s="509"/>
      <c r="H16" s="291" t="str">
        <f t="shared" si="0"/>
        <v/>
      </c>
      <c r="I16" s="524"/>
      <c r="J16" s="606"/>
      <c r="K16" s="607"/>
      <c r="L16" s="608"/>
      <c r="M16" s="609"/>
      <c r="N16" s="601"/>
      <c r="O16" s="602"/>
      <c r="P16" s="603"/>
      <c r="Q16" s="603"/>
      <c r="R16" s="610"/>
      <c r="S16" s="611"/>
      <c r="T16" s="611"/>
      <c r="U16" s="611"/>
      <c r="V16" s="611"/>
      <c r="W16" s="612"/>
      <c r="X16" s="613"/>
      <c r="Y16" s="613"/>
      <c r="Z16" s="613"/>
      <c r="AA16" s="613"/>
      <c r="AB16" s="613"/>
      <c r="AC16" s="613"/>
      <c r="AD16" s="613"/>
      <c r="AE16" s="614"/>
      <c r="AF16" s="614"/>
      <c r="AG16" s="614"/>
      <c r="AH16" s="614"/>
      <c r="AI16" s="614"/>
      <c r="AJ16" s="614"/>
      <c r="AK16" s="614"/>
      <c r="AL16" s="614"/>
      <c r="AM16" s="614"/>
      <c r="AN16" s="613"/>
      <c r="AO16" s="613"/>
      <c r="AP16" s="613"/>
    </row>
    <row r="17" spans="1:42" s="615" customFormat="1" ht="12.5" x14ac:dyDescent="0.25">
      <c r="A17" s="53"/>
      <c r="B17" s="504"/>
      <c r="C17" s="352"/>
      <c r="D17" s="3"/>
      <c r="E17" s="3"/>
      <c r="F17" s="617"/>
      <c r="G17" s="509"/>
      <c r="H17" s="291" t="str">
        <f t="shared" si="0"/>
        <v/>
      </c>
      <c r="I17" s="524"/>
      <c r="J17" s="606"/>
      <c r="K17" s="607"/>
      <c r="L17" s="608"/>
      <c r="M17" s="609"/>
      <c r="N17" s="601"/>
      <c r="O17" s="602"/>
      <c r="P17" s="603"/>
      <c r="Q17" s="603"/>
      <c r="R17" s="610"/>
      <c r="S17" s="611"/>
      <c r="T17" s="611"/>
      <c r="U17" s="611"/>
      <c r="V17" s="611"/>
      <c r="W17" s="612"/>
      <c r="X17" s="613"/>
      <c r="Y17" s="613"/>
      <c r="Z17" s="613"/>
      <c r="AA17" s="613"/>
      <c r="AB17" s="613"/>
      <c r="AC17" s="613"/>
      <c r="AD17" s="613"/>
      <c r="AE17" s="614"/>
      <c r="AF17" s="614"/>
      <c r="AG17" s="614"/>
      <c r="AH17" s="614"/>
      <c r="AI17" s="614"/>
      <c r="AJ17" s="614"/>
      <c r="AK17" s="614"/>
      <c r="AL17" s="614"/>
      <c r="AM17" s="614"/>
      <c r="AN17" s="613"/>
      <c r="AO17" s="613"/>
      <c r="AP17" s="613"/>
    </row>
    <row r="18" spans="1:42" s="615" customFormat="1" ht="12.5" x14ac:dyDescent="0.25">
      <c r="A18" s="53"/>
      <c r="B18" s="504"/>
      <c r="C18" s="352"/>
      <c r="D18" s="3"/>
      <c r="E18" s="3"/>
      <c r="F18" s="617"/>
      <c r="G18" s="509"/>
      <c r="H18" s="291" t="str">
        <f t="shared" si="0"/>
        <v/>
      </c>
      <c r="I18" s="524"/>
      <c r="J18" s="606"/>
      <c r="K18" s="607"/>
      <c r="L18" s="608"/>
      <c r="M18" s="609"/>
      <c r="N18" s="601"/>
      <c r="O18" s="602"/>
      <c r="P18" s="603"/>
      <c r="Q18" s="603"/>
      <c r="R18" s="610"/>
      <c r="S18" s="611"/>
      <c r="T18" s="611"/>
      <c r="U18" s="611"/>
      <c r="V18" s="611"/>
      <c r="W18" s="612"/>
      <c r="X18" s="613"/>
      <c r="Y18" s="613"/>
      <c r="Z18" s="613"/>
      <c r="AA18" s="613"/>
      <c r="AB18" s="613"/>
      <c r="AC18" s="613"/>
      <c r="AD18" s="613"/>
      <c r="AE18" s="614"/>
      <c r="AF18" s="614"/>
      <c r="AG18" s="614"/>
      <c r="AH18" s="614"/>
      <c r="AI18" s="614"/>
      <c r="AJ18" s="614"/>
      <c r="AK18" s="614"/>
      <c r="AL18" s="614"/>
      <c r="AM18" s="614"/>
      <c r="AN18" s="613"/>
      <c r="AO18" s="613"/>
      <c r="AP18" s="613"/>
    </row>
    <row r="19" spans="1:42" s="615" customFormat="1" ht="12.5" x14ac:dyDescent="0.25">
      <c r="A19" s="53"/>
      <c r="B19" s="504" t="s">
        <v>538</v>
      </c>
      <c r="C19" s="352" t="s">
        <v>539</v>
      </c>
      <c r="D19" s="3"/>
      <c r="E19" s="3"/>
      <c r="F19" s="617"/>
      <c r="G19" s="509"/>
      <c r="H19" s="291" t="str">
        <f t="shared" si="0"/>
        <v/>
      </c>
      <c r="I19" s="524"/>
      <c r="J19" s="606"/>
      <c r="K19" s="607"/>
      <c r="L19" s="608"/>
      <c r="M19" s="609"/>
      <c r="N19" s="601"/>
      <c r="O19" s="602"/>
      <c r="P19" s="603"/>
      <c r="Q19" s="603"/>
      <c r="R19" s="610"/>
      <c r="S19" s="611"/>
      <c r="T19" s="611"/>
      <c r="U19" s="611"/>
      <c r="V19" s="611"/>
      <c r="W19" s="612"/>
      <c r="X19" s="613"/>
      <c r="Y19" s="613"/>
      <c r="Z19" s="613"/>
      <c r="AA19" s="613"/>
      <c r="AB19" s="613"/>
      <c r="AC19" s="613"/>
      <c r="AD19" s="613"/>
      <c r="AE19" s="614"/>
      <c r="AF19" s="614"/>
      <c r="AG19" s="614"/>
      <c r="AH19" s="614"/>
      <c r="AI19" s="614"/>
      <c r="AJ19" s="614"/>
      <c r="AK19" s="614"/>
      <c r="AL19" s="614"/>
      <c r="AM19" s="614"/>
      <c r="AN19" s="613"/>
      <c r="AO19" s="613"/>
      <c r="AP19" s="613"/>
    </row>
    <row r="20" spans="1:42" s="615" customFormat="1" ht="12.5" x14ac:dyDescent="0.25">
      <c r="A20" s="53"/>
      <c r="B20" s="504"/>
      <c r="C20" s="352"/>
      <c r="D20" s="3"/>
      <c r="E20" s="3"/>
      <c r="F20" s="617"/>
      <c r="G20" s="509"/>
      <c r="H20" s="291" t="str">
        <f t="shared" si="0"/>
        <v/>
      </c>
      <c r="I20" s="524"/>
      <c r="J20" s="606"/>
      <c r="K20" s="607"/>
      <c r="L20" s="608"/>
      <c r="M20" s="609"/>
      <c r="N20" s="601"/>
      <c r="O20" s="602"/>
      <c r="P20" s="603"/>
      <c r="Q20" s="603"/>
      <c r="R20" s="610"/>
      <c r="S20" s="611"/>
      <c r="T20" s="611"/>
      <c r="U20" s="611"/>
      <c r="V20" s="611"/>
      <c r="W20" s="612"/>
      <c r="X20" s="613"/>
      <c r="Y20" s="613"/>
      <c r="Z20" s="613"/>
      <c r="AA20" s="613"/>
      <c r="AB20" s="613"/>
      <c r="AC20" s="613"/>
      <c r="AD20" s="613"/>
      <c r="AE20" s="614"/>
      <c r="AF20" s="614"/>
      <c r="AG20" s="614"/>
      <c r="AH20" s="614"/>
      <c r="AI20" s="614"/>
      <c r="AJ20" s="614"/>
      <c r="AK20" s="614"/>
      <c r="AL20" s="614"/>
      <c r="AM20" s="614"/>
      <c r="AN20" s="613"/>
      <c r="AO20" s="613"/>
      <c r="AP20" s="613"/>
    </row>
    <row r="21" spans="1:42" s="615" customFormat="1" ht="12.5" x14ac:dyDescent="0.25">
      <c r="A21" s="53"/>
      <c r="B21" s="504" t="s">
        <v>540</v>
      </c>
      <c r="C21" s="352" t="s">
        <v>541</v>
      </c>
      <c r="D21" s="3" t="s">
        <v>17</v>
      </c>
      <c r="E21" s="3"/>
      <c r="F21" s="617">
        <v>21445</v>
      </c>
      <c r="G21" s="171">
        <v>0</v>
      </c>
      <c r="H21" s="290">
        <f t="shared" si="0"/>
        <v>0</v>
      </c>
      <c r="I21" s="524"/>
      <c r="J21" s="606"/>
      <c r="K21" s="607"/>
      <c r="L21" s="608"/>
      <c r="M21" s="609"/>
      <c r="N21" s="601"/>
      <c r="O21" s="602"/>
      <c r="P21" s="603"/>
      <c r="Q21" s="603"/>
      <c r="R21" s="610"/>
      <c r="S21" s="611"/>
      <c r="T21" s="611"/>
      <c r="U21" s="611"/>
      <c r="V21" s="611"/>
      <c r="W21" s="612"/>
      <c r="X21" s="613"/>
      <c r="Y21" s="613"/>
      <c r="Z21" s="613"/>
      <c r="AA21" s="613"/>
      <c r="AB21" s="613"/>
      <c r="AC21" s="613"/>
      <c r="AD21" s="613"/>
      <c r="AE21" s="614"/>
      <c r="AF21" s="614"/>
      <c r="AG21" s="614"/>
      <c r="AH21" s="614"/>
      <c r="AI21" s="614"/>
      <c r="AJ21" s="614"/>
      <c r="AK21" s="614"/>
      <c r="AL21" s="614"/>
      <c r="AM21" s="614"/>
      <c r="AN21" s="613"/>
      <c r="AO21" s="613"/>
      <c r="AP21" s="613"/>
    </row>
    <row r="22" spans="1:42" s="615" customFormat="1" ht="12.5" x14ac:dyDescent="0.25">
      <c r="A22" s="53"/>
      <c r="B22" s="504"/>
      <c r="C22" s="352"/>
      <c r="D22" s="3"/>
      <c r="E22" s="3"/>
      <c r="F22" s="617"/>
      <c r="G22" s="509"/>
      <c r="H22" s="291" t="str">
        <f t="shared" si="0"/>
        <v/>
      </c>
      <c r="I22" s="524"/>
      <c r="J22" s="606"/>
      <c r="K22" s="607"/>
      <c r="L22" s="608"/>
      <c r="M22" s="609"/>
      <c r="N22" s="601"/>
      <c r="O22" s="602"/>
      <c r="P22" s="603"/>
      <c r="Q22" s="603"/>
      <c r="R22" s="610"/>
      <c r="S22" s="611"/>
      <c r="T22" s="611"/>
      <c r="U22" s="611"/>
      <c r="V22" s="611"/>
      <c r="W22" s="612"/>
      <c r="X22" s="613"/>
      <c r="Y22" s="613"/>
      <c r="Z22" s="613"/>
      <c r="AA22" s="613"/>
      <c r="AB22" s="613"/>
      <c r="AC22" s="613"/>
      <c r="AD22" s="613"/>
      <c r="AE22" s="614"/>
      <c r="AF22" s="614"/>
      <c r="AG22" s="614"/>
      <c r="AH22" s="614"/>
      <c r="AI22" s="614"/>
      <c r="AJ22" s="614"/>
      <c r="AK22" s="614"/>
      <c r="AL22" s="614"/>
      <c r="AM22" s="614"/>
      <c r="AN22" s="613"/>
      <c r="AO22" s="613"/>
      <c r="AP22" s="613"/>
    </row>
    <row r="23" spans="1:42" s="615" customFormat="1" ht="16.5" customHeight="1" x14ac:dyDescent="0.25">
      <c r="A23" s="53"/>
      <c r="B23" s="504" t="s">
        <v>542</v>
      </c>
      <c r="C23" s="352" t="s">
        <v>584</v>
      </c>
      <c r="D23" s="3" t="s">
        <v>17</v>
      </c>
      <c r="E23" s="3"/>
      <c r="F23" s="617">
        <v>64336</v>
      </c>
      <c r="G23" s="171">
        <v>0</v>
      </c>
      <c r="H23" s="290">
        <f t="shared" si="0"/>
        <v>0</v>
      </c>
      <c r="I23" s="524"/>
      <c r="J23" s="606"/>
      <c r="K23" s="607"/>
      <c r="L23" s="608"/>
      <c r="M23" s="609"/>
      <c r="N23" s="601"/>
      <c r="O23" s="602"/>
      <c r="P23" s="603"/>
      <c r="Q23" s="603"/>
      <c r="R23" s="610"/>
      <c r="S23" s="611"/>
      <c r="T23" s="611"/>
      <c r="U23" s="611"/>
      <c r="V23" s="611"/>
      <c r="W23" s="612"/>
      <c r="X23" s="613"/>
      <c r="Y23" s="613"/>
      <c r="Z23" s="613"/>
      <c r="AA23" s="613"/>
      <c r="AB23" s="613"/>
      <c r="AC23" s="613"/>
      <c r="AD23" s="613"/>
      <c r="AE23" s="614"/>
      <c r="AF23" s="614"/>
      <c r="AG23" s="614"/>
      <c r="AH23" s="614"/>
      <c r="AI23" s="614"/>
      <c r="AJ23" s="614"/>
      <c r="AK23" s="614"/>
      <c r="AL23" s="614"/>
      <c r="AM23" s="614"/>
      <c r="AN23" s="613"/>
      <c r="AO23" s="613"/>
      <c r="AP23" s="613"/>
    </row>
    <row r="24" spans="1:42" s="615" customFormat="1" ht="12.5" x14ac:dyDescent="0.25">
      <c r="A24" s="53"/>
      <c r="B24" s="504"/>
      <c r="C24" s="352"/>
      <c r="D24" s="3"/>
      <c r="E24" s="3"/>
      <c r="F24" s="617"/>
      <c r="G24" s="509"/>
      <c r="H24" s="291" t="str">
        <f t="shared" si="0"/>
        <v/>
      </c>
      <c r="I24" s="524"/>
      <c r="J24" s="606"/>
      <c r="K24" s="607"/>
      <c r="L24" s="608"/>
      <c r="M24" s="609"/>
      <c r="N24" s="601"/>
      <c r="O24" s="602"/>
      <c r="P24" s="603"/>
      <c r="Q24" s="603"/>
      <c r="R24" s="610"/>
      <c r="S24" s="611"/>
      <c r="T24" s="611"/>
      <c r="U24" s="611"/>
      <c r="V24" s="611"/>
      <c r="W24" s="612"/>
      <c r="X24" s="613"/>
      <c r="Y24" s="613"/>
      <c r="Z24" s="613"/>
      <c r="AA24" s="613"/>
      <c r="AB24" s="613"/>
      <c r="AC24" s="613"/>
      <c r="AD24" s="613"/>
      <c r="AE24" s="614"/>
      <c r="AF24" s="614"/>
      <c r="AG24" s="614"/>
      <c r="AH24" s="614"/>
      <c r="AI24" s="614"/>
      <c r="AJ24" s="614"/>
      <c r="AK24" s="614"/>
      <c r="AL24" s="614"/>
      <c r="AM24" s="614"/>
      <c r="AN24" s="613"/>
      <c r="AO24" s="613"/>
      <c r="AP24" s="613"/>
    </row>
    <row r="25" spans="1:42" s="615" customFormat="1" ht="12.75" customHeight="1" x14ac:dyDescent="0.25">
      <c r="A25" s="53"/>
      <c r="B25" s="504" t="s">
        <v>543</v>
      </c>
      <c r="C25" s="352" t="s">
        <v>585</v>
      </c>
      <c r="D25" s="3"/>
      <c r="E25" s="3"/>
      <c r="F25" s="617"/>
      <c r="G25" s="509"/>
      <c r="H25" s="291" t="str">
        <f t="shared" si="0"/>
        <v/>
      </c>
      <c r="I25" s="524"/>
      <c r="J25" s="606"/>
      <c r="K25" s="607"/>
      <c r="L25" s="608"/>
      <c r="M25" s="609"/>
      <c r="N25" s="601"/>
      <c r="O25" s="602"/>
      <c r="P25" s="603"/>
      <c r="Q25" s="603"/>
      <c r="R25" s="610"/>
      <c r="S25" s="611"/>
      <c r="T25" s="611"/>
      <c r="U25" s="611"/>
      <c r="V25" s="611"/>
      <c r="W25" s="612"/>
      <c r="X25" s="613"/>
      <c r="Y25" s="613"/>
      <c r="Z25" s="613"/>
      <c r="AA25" s="613"/>
      <c r="AB25" s="613"/>
      <c r="AC25" s="613"/>
      <c r="AD25" s="613"/>
      <c r="AE25" s="614"/>
      <c r="AF25" s="614"/>
      <c r="AG25" s="614"/>
      <c r="AH25" s="614"/>
      <c r="AI25" s="614"/>
      <c r="AJ25" s="614"/>
      <c r="AK25" s="614"/>
      <c r="AL25" s="614"/>
      <c r="AM25" s="614"/>
      <c r="AN25" s="613"/>
      <c r="AO25" s="613"/>
      <c r="AP25" s="613"/>
    </row>
    <row r="26" spans="1:42" s="615" customFormat="1" ht="12.5" x14ac:dyDescent="0.25">
      <c r="A26" s="53"/>
      <c r="B26" s="504"/>
      <c r="C26" s="352"/>
      <c r="D26" s="3"/>
      <c r="E26" s="3"/>
      <c r="F26" s="617"/>
      <c r="G26" s="509"/>
      <c r="H26" s="291" t="str">
        <f t="shared" si="0"/>
        <v/>
      </c>
      <c r="I26" s="524"/>
      <c r="J26" s="606"/>
      <c r="K26" s="607"/>
      <c r="L26" s="608"/>
      <c r="M26" s="609"/>
      <c r="N26" s="601"/>
      <c r="O26" s="602"/>
      <c r="P26" s="603"/>
      <c r="Q26" s="603"/>
      <c r="R26" s="610"/>
      <c r="S26" s="611"/>
      <c r="T26" s="611"/>
      <c r="U26" s="611"/>
      <c r="V26" s="611"/>
      <c r="W26" s="612"/>
      <c r="X26" s="613"/>
      <c r="Y26" s="613"/>
      <c r="Z26" s="613"/>
      <c r="AA26" s="613"/>
      <c r="AB26" s="613"/>
      <c r="AC26" s="613"/>
      <c r="AD26" s="613"/>
      <c r="AE26" s="614"/>
      <c r="AF26" s="614"/>
      <c r="AG26" s="614"/>
      <c r="AH26" s="614"/>
      <c r="AI26" s="614"/>
      <c r="AJ26" s="614"/>
      <c r="AK26" s="614"/>
      <c r="AL26" s="614"/>
      <c r="AM26" s="614"/>
      <c r="AN26" s="613"/>
      <c r="AO26" s="613"/>
      <c r="AP26" s="613"/>
    </row>
    <row r="27" spans="1:42" s="615" customFormat="1" ht="16.5" customHeight="1" x14ac:dyDescent="0.25">
      <c r="A27" s="53"/>
      <c r="B27" s="504" t="s">
        <v>544</v>
      </c>
      <c r="C27" s="352" t="s">
        <v>545</v>
      </c>
      <c r="D27" s="3" t="s">
        <v>499</v>
      </c>
      <c r="E27" s="3"/>
      <c r="F27" s="617">
        <v>300</v>
      </c>
      <c r="G27" s="171">
        <v>0</v>
      </c>
      <c r="H27" s="290">
        <f t="shared" si="0"/>
        <v>0</v>
      </c>
      <c r="I27" s="524"/>
      <c r="J27" s="606"/>
      <c r="K27" s="607"/>
      <c r="L27" s="608"/>
      <c r="M27" s="609"/>
      <c r="N27" s="601"/>
      <c r="O27" s="602"/>
      <c r="P27" s="603"/>
      <c r="Q27" s="603"/>
      <c r="R27" s="610"/>
      <c r="S27" s="611"/>
      <c r="T27" s="611"/>
      <c r="U27" s="611"/>
      <c r="V27" s="611"/>
      <c r="W27" s="612"/>
      <c r="X27" s="613"/>
      <c r="Y27" s="613"/>
      <c r="Z27" s="613"/>
      <c r="AA27" s="613"/>
      <c r="AB27" s="613"/>
      <c r="AC27" s="613"/>
      <c r="AD27" s="613"/>
      <c r="AE27" s="614"/>
      <c r="AF27" s="614"/>
      <c r="AG27" s="614"/>
      <c r="AH27" s="614"/>
      <c r="AI27" s="614"/>
      <c r="AJ27" s="614"/>
      <c r="AK27" s="614"/>
      <c r="AL27" s="614"/>
      <c r="AM27" s="614"/>
      <c r="AN27" s="613"/>
      <c r="AO27" s="613"/>
      <c r="AP27" s="613"/>
    </row>
    <row r="28" spans="1:42" s="615" customFormat="1" ht="12.5" x14ac:dyDescent="0.25">
      <c r="A28" s="53"/>
      <c r="B28" s="504"/>
      <c r="C28" s="352"/>
      <c r="D28" s="3"/>
      <c r="E28" s="3"/>
      <c r="F28" s="617"/>
      <c r="G28" s="509"/>
      <c r="H28" s="291" t="str">
        <f t="shared" si="0"/>
        <v/>
      </c>
      <c r="I28" s="524"/>
      <c r="J28" s="606"/>
      <c r="K28" s="607"/>
      <c r="L28" s="608"/>
      <c r="M28" s="609"/>
      <c r="N28" s="601"/>
      <c r="O28" s="602"/>
      <c r="P28" s="603"/>
      <c r="Q28" s="603"/>
      <c r="R28" s="610"/>
      <c r="S28" s="611"/>
      <c r="T28" s="611"/>
      <c r="U28" s="611"/>
      <c r="V28" s="611"/>
      <c r="W28" s="612"/>
      <c r="X28" s="613"/>
      <c r="Y28" s="613"/>
      <c r="Z28" s="613"/>
      <c r="AA28" s="613"/>
      <c r="AB28" s="613"/>
      <c r="AC28" s="613"/>
      <c r="AD28" s="613"/>
      <c r="AE28" s="614"/>
      <c r="AF28" s="614"/>
      <c r="AG28" s="614"/>
      <c r="AH28" s="614"/>
      <c r="AI28" s="614"/>
      <c r="AJ28" s="614"/>
      <c r="AK28" s="614"/>
      <c r="AL28" s="614"/>
      <c r="AM28" s="614"/>
      <c r="AN28" s="613"/>
      <c r="AO28" s="613"/>
      <c r="AP28" s="613"/>
    </row>
    <row r="29" spans="1:42" s="615" customFormat="1" ht="17.25" customHeight="1" x14ac:dyDescent="0.25">
      <c r="A29" s="53"/>
      <c r="B29" s="504" t="s">
        <v>546</v>
      </c>
      <c r="C29" s="352" t="s">
        <v>547</v>
      </c>
      <c r="D29" s="3" t="s">
        <v>499</v>
      </c>
      <c r="E29" s="3"/>
      <c r="F29" s="617">
        <v>300</v>
      </c>
      <c r="G29" s="171">
        <v>0</v>
      </c>
      <c r="H29" s="290">
        <f t="shared" si="0"/>
        <v>0</v>
      </c>
      <c r="I29" s="524"/>
      <c r="J29" s="606"/>
      <c r="K29" s="607"/>
      <c r="L29" s="608"/>
      <c r="M29" s="609"/>
      <c r="N29" s="601"/>
      <c r="O29" s="602"/>
      <c r="P29" s="603"/>
      <c r="Q29" s="603"/>
      <c r="R29" s="610"/>
      <c r="S29" s="611"/>
      <c r="T29" s="611"/>
      <c r="U29" s="611"/>
      <c r="V29" s="611"/>
      <c r="W29" s="612"/>
      <c r="X29" s="613"/>
      <c r="Y29" s="613"/>
      <c r="Z29" s="613"/>
      <c r="AA29" s="613"/>
      <c r="AB29" s="613"/>
      <c r="AC29" s="613"/>
      <c r="AD29" s="613"/>
      <c r="AE29" s="614"/>
      <c r="AF29" s="614"/>
      <c r="AG29" s="614"/>
      <c r="AH29" s="614"/>
      <c r="AI29" s="614"/>
      <c r="AJ29" s="614"/>
      <c r="AK29" s="614"/>
      <c r="AL29" s="614"/>
      <c r="AM29" s="614"/>
      <c r="AN29" s="613"/>
      <c r="AO29" s="613"/>
      <c r="AP29" s="613"/>
    </row>
    <row r="30" spans="1:42" s="615" customFormat="1" ht="12.5" x14ac:dyDescent="0.25">
      <c r="A30" s="53"/>
      <c r="B30" s="504"/>
      <c r="C30" s="352"/>
      <c r="D30" s="3"/>
      <c r="E30" s="3"/>
      <c r="F30" s="617"/>
      <c r="G30" s="509"/>
      <c r="H30" s="291" t="str">
        <f t="shared" si="0"/>
        <v/>
      </c>
      <c r="I30" s="524"/>
      <c r="J30" s="606"/>
      <c r="K30" s="607"/>
      <c r="L30" s="608"/>
      <c r="M30" s="609"/>
      <c r="N30" s="601"/>
      <c r="O30" s="602"/>
      <c r="P30" s="603"/>
      <c r="Q30" s="603"/>
      <c r="R30" s="610"/>
      <c r="S30" s="611"/>
      <c r="T30" s="611"/>
      <c r="U30" s="611"/>
      <c r="V30" s="611"/>
      <c r="W30" s="612"/>
      <c r="X30" s="613"/>
      <c r="Y30" s="613"/>
      <c r="Z30" s="613"/>
      <c r="AA30" s="613"/>
      <c r="AB30" s="613"/>
      <c r="AC30" s="613"/>
      <c r="AD30" s="613"/>
      <c r="AE30" s="614"/>
      <c r="AF30" s="614"/>
      <c r="AG30" s="614"/>
      <c r="AH30" s="614"/>
      <c r="AI30" s="614"/>
      <c r="AJ30" s="614"/>
      <c r="AK30" s="614"/>
      <c r="AL30" s="614"/>
      <c r="AM30" s="614"/>
      <c r="AN30" s="613"/>
      <c r="AO30" s="613"/>
      <c r="AP30" s="613"/>
    </row>
    <row r="31" spans="1:42" s="615" customFormat="1" ht="12.75" customHeight="1" x14ac:dyDescent="0.25">
      <c r="A31" s="53"/>
      <c r="B31" s="504" t="s">
        <v>548</v>
      </c>
      <c r="C31" s="352" t="s">
        <v>549</v>
      </c>
      <c r="D31" s="3"/>
      <c r="E31" s="3"/>
      <c r="F31" s="617"/>
      <c r="G31" s="509"/>
      <c r="H31" s="291" t="str">
        <f t="shared" si="0"/>
        <v/>
      </c>
      <c r="I31" s="524"/>
      <c r="J31" s="606"/>
      <c r="K31" s="607"/>
      <c r="L31" s="608"/>
      <c r="M31" s="609"/>
      <c r="N31" s="601"/>
      <c r="O31" s="602"/>
      <c r="P31" s="603"/>
      <c r="Q31" s="603"/>
      <c r="R31" s="610"/>
      <c r="S31" s="611"/>
      <c r="T31" s="611"/>
      <c r="U31" s="611"/>
      <c r="V31" s="611"/>
      <c r="W31" s="612"/>
      <c r="X31" s="613"/>
      <c r="Y31" s="613"/>
      <c r="Z31" s="613"/>
      <c r="AA31" s="613"/>
      <c r="AB31" s="613"/>
      <c r="AC31" s="613"/>
      <c r="AD31" s="613"/>
      <c r="AE31" s="614"/>
      <c r="AF31" s="614"/>
      <c r="AG31" s="614"/>
      <c r="AH31" s="614"/>
      <c r="AI31" s="614"/>
      <c r="AJ31" s="614"/>
      <c r="AK31" s="614"/>
      <c r="AL31" s="614"/>
      <c r="AM31" s="614"/>
      <c r="AN31" s="613"/>
      <c r="AO31" s="613"/>
      <c r="AP31" s="613"/>
    </row>
    <row r="32" spans="1:42" s="615" customFormat="1" ht="12.5" x14ac:dyDescent="0.25">
      <c r="A32" s="53"/>
      <c r="B32" s="504"/>
      <c r="C32" s="352"/>
      <c r="D32" s="3"/>
      <c r="E32" s="3"/>
      <c r="F32" s="617"/>
      <c r="G32" s="509"/>
      <c r="H32" s="291" t="str">
        <f t="shared" si="0"/>
        <v/>
      </c>
      <c r="I32" s="524"/>
      <c r="J32" s="606"/>
      <c r="K32" s="607"/>
      <c r="L32" s="608"/>
      <c r="M32" s="609"/>
      <c r="N32" s="601"/>
      <c r="O32" s="602"/>
      <c r="P32" s="603"/>
      <c r="Q32" s="603"/>
      <c r="R32" s="610"/>
      <c r="S32" s="611"/>
      <c r="T32" s="611"/>
      <c r="U32" s="611"/>
      <c r="V32" s="611"/>
      <c r="W32" s="612"/>
      <c r="X32" s="613"/>
      <c r="Y32" s="613"/>
      <c r="Z32" s="613"/>
      <c r="AA32" s="613"/>
      <c r="AB32" s="613"/>
      <c r="AC32" s="613"/>
      <c r="AD32" s="613"/>
      <c r="AE32" s="614"/>
      <c r="AF32" s="614"/>
      <c r="AG32" s="614"/>
      <c r="AH32" s="614"/>
      <c r="AI32" s="614"/>
      <c r="AJ32" s="614"/>
      <c r="AK32" s="614"/>
      <c r="AL32" s="614"/>
      <c r="AM32" s="614"/>
      <c r="AN32" s="613"/>
      <c r="AO32" s="613"/>
      <c r="AP32" s="613"/>
    </row>
    <row r="33" spans="1:42" s="615" customFormat="1" ht="23" x14ac:dyDescent="0.25">
      <c r="A33" s="53"/>
      <c r="B33" s="504" t="s">
        <v>550</v>
      </c>
      <c r="C33" s="352" t="s">
        <v>586</v>
      </c>
      <c r="D33" s="3" t="s">
        <v>17</v>
      </c>
      <c r="E33" s="3"/>
      <c r="F33" s="617">
        <v>56964</v>
      </c>
      <c r="G33" s="171">
        <v>0</v>
      </c>
      <c r="H33" s="290">
        <f t="shared" ref="H33" si="1">IF(D33="","",F33*G33)</f>
        <v>0</v>
      </c>
      <c r="I33" s="524"/>
      <c r="J33" s="606"/>
      <c r="K33" s="607"/>
      <c r="L33" s="608"/>
      <c r="M33" s="609"/>
      <c r="N33" s="601"/>
      <c r="O33" s="602"/>
      <c r="P33" s="603"/>
      <c r="Q33" s="603"/>
      <c r="R33" s="610"/>
      <c r="S33" s="611"/>
      <c r="T33" s="611"/>
      <c r="U33" s="611"/>
      <c r="V33" s="611"/>
      <c r="W33" s="612"/>
      <c r="X33" s="613"/>
      <c r="Y33" s="613"/>
      <c r="Z33" s="613"/>
      <c r="AA33" s="613"/>
      <c r="AB33" s="613"/>
      <c r="AC33" s="613"/>
      <c r="AD33" s="613"/>
      <c r="AE33" s="614"/>
      <c r="AF33" s="614"/>
      <c r="AG33" s="614"/>
      <c r="AH33" s="614"/>
      <c r="AI33" s="614"/>
      <c r="AJ33" s="614"/>
      <c r="AK33" s="614"/>
      <c r="AL33" s="614"/>
      <c r="AM33" s="614"/>
      <c r="AN33" s="613"/>
      <c r="AO33" s="613"/>
      <c r="AP33" s="613"/>
    </row>
    <row r="34" spans="1:42" s="615" customFormat="1" ht="12.5" x14ac:dyDescent="0.25">
      <c r="A34" s="53"/>
      <c r="B34" s="504"/>
      <c r="C34" s="352"/>
      <c r="D34" s="3"/>
      <c r="E34" s="3"/>
      <c r="F34" s="617"/>
      <c r="G34" s="509"/>
      <c r="H34" s="291" t="str">
        <f t="shared" si="0"/>
        <v/>
      </c>
      <c r="I34" s="524"/>
      <c r="J34" s="606"/>
      <c r="K34" s="607"/>
      <c r="L34" s="608"/>
      <c r="M34" s="609"/>
      <c r="N34" s="601"/>
      <c r="O34" s="602"/>
      <c r="P34" s="603"/>
      <c r="Q34" s="603"/>
      <c r="R34" s="610"/>
      <c r="S34" s="611"/>
      <c r="T34" s="611"/>
      <c r="U34" s="611"/>
      <c r="V34" s="611"/>
      <c r="W34" s="612"/>
      <c r="X34" s="613"/>
      <c r="Y34" s="613"/>
      <c r="Z34" s="613"/>
      <c r="AA34" s="613"/>
      <c r="AB34" s="613"/>
      <c r="AC34" s="613"/>
      <c r="AD34" s="613"/>
      <c r="AE34" s="614"/>
      <c r="AF34" s="614"/>
      <c r="AG34" s="614"/>
      <c r="AH34" s="614"/>
      <c r="AI34" s="614"/>
      <c r="AJ34" s="614"/>
      <c r="AK34" s="614"/>
      <c r="AL34" s="614"/>
      <c r="AM34" s="614"/>
      <c r="AN34" s="613"/>
      <c r="AO34" s="613"/>
      <c r="AP34" s="613"/>
    </row>
    <row r="35" spans="1:42" s="615" customFormat="1" ht="12.5" x14ac:dyDescent="0.25">
      <c r="A35" s="53"/>
      <c r="B35" s="504"/>
      <c r="C35" s="352"/>
      <c r="D35" s="3"/>
      <c r="E35" s="3"/>
      <c r="F35" s="617"/>
      <c r="G35" s="509"/>
      <c r="H35" s="291" t="str">
        <f t="shared" si="0"/>
        <v/>
      </c>
      <c r="I35" s="524"/>
      <c r="J35" s="606"/>
      <c r="K35" s="607"/>
      <c r="L35" s="608"/>
      <c r="M35" s="609"/>
      <c r="N35" s="601"/>
      <c r="O35" s="602"/>
      <c r="P35" s="603"/>
      <c r="Q35" s="603"/>
      <c r="R35" s="610"/>
      <c r="S35" s="611"/>
      <c r="T35" s="611"/>
      <c r="U35" s="611"/>
      <c r="V35" s="611"/>
      <c r="W35" s="612"/>
      <c r="X35" s="613"/>
      <c r="Y35" s="613"/>
      <c r="Z35" s="613"/>
      <c r="AA35" s="613"/>
      <c r="AB35" s="613"/>
      <c r="AC35" s="613"/>
      <c r="AD35" s="613"/>
      <c r="AE35" s="614"/>
      <c r="AF35" s="614"/>
      <c r="AG35" s="614"/>
      <c r="AH35" s="614"/>
      <c r="AI35" s="614"/>
      <c r="AJ35" s="614"/>
      <c r="AK35" s="614"/>
      <c r="AL35" s="614"/>
      <c r="AM35" s="614"/>
      <c r="AN35" s="613"/>
      <c r="AO35" s="613"/>
      <c r="AP35" s="613"/>
    </row>
    <row r="36" spans="1:42" s="615" customFormat="1" ht="12.75" customHeight="1" x14ac:dyDescent="0.25">
      <c r="A36" s="53"/>
      <c r="B36" s="504" t="s">
        <v>551</v>
      </c>
      <c r="C36" s="352" t="s">
        <v>552</v>
      </c>
      <c r="D36" s="3"/>
      <c r="E36" s="3"/>
      <c r="F36" s="617"/>
      <c r="G36" s="509"/>
      <c r="H36" s="291" t="str">
        <f t="shared" si="0"/>
        <v/>
      </c>
      <c r="I36" s="524"/>
      <c r="J36" s="606"/>
      <c r="K36" s="607"/>
      <c r="L36" s="608"/>
      <c r="M36" s="609"/>
      <c r="N36" s="601"/>
      <c r="O36" s="602"/>
      <c r="P36" s="603"/>
      <c r="Q36" s="603"/>
      <c r="R36" s="610"/>
      <c r="S36" s="611"/>
      <c r="T36" s="611"/>
      <c r="U36" s="611"/>
      <c r="V36" s="611"/>
      <c r="W36" s="612"/>
      <c r="X36" s="613"/>
      <c r="Y36" s="613"/>
      <c r="Z36" s="613"/>
      <c r="AA36" s="613"/>
      <c r="AB36" s="613"/>
      <c r="AC36" s="613"/>
      <c r="AD36" s="613"/>
      <c r="AE36" s="614"/>
      <c r="AF36" s="614"/>
      <c r="AG36" s="614"/>
      <c r="AH36" s="614"/>
      <c r="AI36" s="614"/>
      <c r="AJ36" s="614"/>
      <c r="AK36" s="614"/>
      <c r="AL36" s="614"/>
      <c r="AM36" s="614"/>
      <c r="AN36" s="613"/>
      <c r="AO36" s="613"/>
      <c r="AP36" s="613"/>
    </row>
    <row r="37" spans="1:42" s="615" customFormat="1" ht="12.5" x14ac:dyDescent="0.25">
      <c r="A37" s="53"/>
      <c r="B37" s="504"/>
      <c r="C37" s="352"/>
      <c r="D37" s="3"/>
      <c r="E37" s="3"/>
      <c r="F37" s="617"/>
      <c r="G37" s="509"/>
      <c r="H37" s="291" t="str">
        <f t="shared" si="0"/>
        <v/>
      </c>
      <c r="I37" s="524"/>
      <c r="J37" s="606"/>
      <c r="K37" s="607"/>
      <c r="L37" s="608"/>
      <c r="M37" s="609"/>
      <c r="N37" s="601"/>
      <c r="O37" s="602"/>
      <c r="P37" s="603"/>
      <c r="Q37" s="603"/>
      <c r="R37" s="610"/>
      <c r="S37" s="611"/>
      <c r="T37" s="611"/>
      <c r="U37" s="611"/>
      <c r="V37" s="611"/>
      <c r="W37" s="612"/>
      <c r="X37" s="613"/>
      <c r="Y37" s="613"/>
      <c r="Z37" s="613"/>
      <c r="AA37" s="613"/>
      <c r="AB37" s="613"/>
      <c r="AC37" s="613"/>
      <c r="AD37" s="613"/>
      <c r="AE37" s="614"/>
      <c r="AF37" s="614"/>
      <c r="AG37" s="614"/>
      <c r="AH37" s="614"/>
      <c r="AI37" s="614"/>
      <c r="AJ37" s="614"/>
      <c r="AK37" s="614"/>
      <c r="AL37" s="614"/>
      <c r="AM37" s="614"/>
      <c r="AN37" s="613"/>
      <c r="AO37" s="613"/>
      <c r="AP37" s="613"/>
    </row>
    <row r="38" spans="1:42" s="615" customFormat="1" ht="23" x14ac:dyDescent="0.25">
      <c r="A38" s="53"/>
      <c r="B38" s="504" t="s">
        <v>553</v>
      </c>
      <c r="C38" s="352" t="s">
        <v>587</v>
      </c>
      <c r="D38" s="3" t="s">
        <v>17</v>
      </c>
      <c r="E38" s="3"/>
      <c r="F38" s="617">
        <v>3000</v>
      </c>
      <c r="G38" s="171">
        <v>0</v>
      </c>
      <c r="H38" s="290">
        <f t="shared" si="0"/>
        <v>0</v>
      </c>
      <c r="I38" s="524"/>
      <c r="J38" s="606"/>
      <c r="K38" s="607"/>
      <c r="L38" s="608"/>
      <c r="M38" s="609"/>
      <c r="N38" s="601"/>
      <c r="O38" s="602"/>
      <c r="P38" s="603"/>
      <c r="Q38" s="603"/>
      <c r="R38" s="610"/>
      <c r="S38" s="611"/>
      <c r="T38" s="611"/>
      <c r="U38" s="611"/>
      <c r="V38" s="611"/>
      <c r="W38" s="612"/>
      <c r="X38" s="613"/>
      <c r="Y38" s="613"/>
      <c r="Z38" s="613"/>
      <c r="AA38" s="613"/>
      <c r="AB38" s="613"/>
      <c r="AC38" s="613"/>
      <c r="AD38" s="613"/>
      <c r="AE38" s="614"/>
      <c r="AF38" s="614"/>
      <c r="AG38" s="614"/>
      <c r="AH38" s="614"/>
      <c r="AI38" s="614"/>
      <c r="AJ38" s="614"/>
      <c r="AK38" s="614"/>
      <c r="AL38" s="614"/>
      <c r="AM38" s="614"/>
      <c r="AN38" s="613"/>
      <c r="AO38" s="613"/>
      <c r="AP38" s="613"/>
    </row>
    <row r="39" spans="1:42" s="615" customFormat="1" ht="12.5" x14ac:dyDescent="0.25">
      <c r="A39" s="53"/>
      <c r="B39" s="504"/>
      <c r="C39" s="352"/>
      <c r="D39" s="3"/>
      <c r="E39" s="3"/>
      <c r="F39" s="617"/>
      <c r="G39" s="509"/>
      <c r="H39" s="291" t="str">
        <f t="shared" si="0"/>
        <v/>
      </c>
      <c r="I39" s="524"/>
      <c r="J39" s="606"/>
      <c r="K39" s="607"/>
      <c r="L39" s="608"/>
      <c r="M39" s="609"/>
      <c r="N39" s="601"/>
      <c r="O39" s="602"/>
      <c r="P39" s="603"/>
      <c r="Q39" s="603"/>
      <c r="R39" s="610"/>
      <c r="S39" s="611"/>
      <c r="T39" s="611"/>
      <c r="U39" s="611"/>
      <c r="V39" s="611"/>
      <c r="W39" s="612"/>
      <c r="X39" s="613"/>
      <c r="Y39" s="613"/>
      <c r="Z39" s="613"/>
      <c r="AA39" s="613"/>
      <c r="AB39" s="613"/>
      <c r="AC39" s="613"/>
      <c r="AD39" s="613"/>
      <c r="AE39" s="614"/>
      <c r="AF39" s="614"/>
      <c r="AG39" s="614"/>
      <c r="AH39" s="614"/>
      <c r="AI39" s="614"/>
      <c r="AJ39" s="614"/>
      <c r="AK39" s="614"/>
      <c r="AL39" s="614"/>
      <c r="AM39" s="614"/>
      <c r="AN39" s="613"/>
      <c r="AO39" s="613"/>
      <c r="AP39" s="613"/>
    </row>
    <row r="40" spans="1:42" s="615" customFormat="1" ht="23" x14ac:dyDescent="0.25">
      <c r="A40" s="53"/>
      <c r="B40" s="504" t="s">
        <v>554</v>
      </c>
      <c r="C40" s="352" t="s">
        <v>588</v>
      </c>
      <c r="D40" s="3" t="s">
        <v>17</v>
      </c>
      <c r="E40" s="3"/>
      <c r="F40" s="617">
        <v>3000</v>
      </c>
      <c r="G40" s="171">
        <v>0</v>
      </c>
      <c r="H40" s="290">
        <f t="shared" si="0"/>
        <v>0</v>
      </c>
      <c r="I40" s="524"/>
      <c r="J40" s="606"/>
      <c r="K40" s="607"/>
      <c r="L40" s="608"/>
      <c r="M40" s="609"/>
      <c r="N40" s="601"/>
      <c r="O40" s="602"/>
      <c r="P40" s="603"/>
      <c r="Q40" s="603"/>
      <c r="R40" s="610"/>
      <c r="S40" s="611"/>
      <c r="T40" s="611"/>
      <c r="U40" s="611"/>
      <c r="V40" s="611"/>
      <c r="W40" s="612"/>
      <c r="X40" s="613"/>
      <c r="Y40" s="613"/>
      <c r="Z40" s="613"/>
      <c r="AA40" s="613"/>
      <c r="AB40" s="613"/>
      <c r="AC40" s="613"/>
      <c r="AD40" s="613"/>
      <c r="AE40" s="614"/>
      <c r="AF40" s="614"/>
      <c r="AG40" s="614"/>
      <c r="AH40" s="614"/>
      <c r="AI40" s="614"/>
      <c r="AJ40" s="614"/>
      <c r="AK40" s="614"/>
      <c r="AL40" s="614"/>
      <c r="AM40" s="614"/>
      <c r="AN40" s="613"/>
      <c r="AO40" s="613"/>
      <c r="AP40" s="613"/>
    </row>
    <row r="41" spans="1:42" s="615" customFormat="1" ht="12.5" x14ac:dyDescent="0.25">
      <c r="A41" s="53"/>
      <c r="B41" s="504"/>
      <c r="C41" s="352"/>
      <c r="D41" s="3"/>
      <c r="E41" s="3"/>
      <c r="F41" s="617"/>
      <c r="G41" s="509"/>
      <c r="H41" s="291" t="str">
        <f t="shared" si="0"/>
        <v/>
      </c>
      <c r="I41" s="524"/>
      <c r="J41" s="606"/>
      <c r="K41" s="607"/>
      <c r="L41" s="608"/>
      <c r="M41" s="609"/>
      <c r="N41" s="601"/>
      <c r="O41" s="602"/>
      <c r="P41" s="603"/>
      <c r="Q41" s="603"/>
      <c r="R41" s="610"/>
      <c r="S41" s="611"/>
      <c r="T41" s="611"/>
      <c r="U41" s="611"/>
      <c r="V41" s="611"/>
      <c r="W41" s="612"/>
      <c r="X41" s="613"/>
      <c r="Y41" s="613"/>
      <c r="Z41" s="613"/>
      <c r="AA41" s="613"/>
      <c r="AB41" s="613"/>
      <c r="AC41" s="613"/>
      <c r="AD41" s="613"/>
      <c r="AE41" s="614"/>
      <c r="AF41" s="614"/>
      <c r="AG41" s="614"/>
      <c r="AH41" s="614"/>
      <c r="AI41" s="614"/>
      <c r="AJ41" s="614"/>
      <c r="AK41" s="614"/>
      <c r="AL41" s="614"/>
      <c r="AM41" s="614"/>
      <c r="AN41" s="613"/>
      <c r="AO41" s="613"/>
      <c r="AP41" s="613"/>
    </row>
    <row r="42" spans="1:42" s="615" customFormat="1" ht="12.75" customHeight="1" x14ac:dyDescent="0.25">
      <c r="A42" s="53"/>
      <c r="B42" s="504" t="s">
        <v>555</v>
      </c>
      <c r="C42" s="352" t="s">
        <v>88</v>
      </c>
      <c r="D42" s="3"/>
      <c r="E42" s="3"/>
      <c r="F42" s="617"/>
      <c r="G42" s="509"/>
      <c r="H42" s="291" t="str">
        <f t="shared" ref="H42:H44" si="2">IF(D42="","",F42*G42)</f>
        <v/>
      </c>
      <c r="I42" s="524"/>
      <c r="J42" s="606"/>
      <c r="K42" s="607"/>
      <c r="L42" s="608"/>
      <c r="M42" s="609"/>
      <c r="N42" s="601"/>
      <c r="O42" s="602"/>
      <c r="P42" s="603"/>
      <c r="Q42" s="603"/>
      <c r="R42" s="610"/>
      <c r="S42" s="611"/>
      <c r="T42" s="611"/>
      <c r="U42" s="611"/>
      <c r="V42" s="611"/>
      <c r="W42" s="612"/>
      <c r="X42" s="613"/>
      <c r="Y42" s="613"/>
      <c r="Z42" s="613"/>
      <c r="AA42" s="613"/>
      <c r="AB42" s="613"/>
      <c r="AC42" s="613"/>
      <c r="AD42" s="613"/>
      <c r="AE42" s="614"/>
      <c r="AF42" s="614"/>
      <c r="AG42" s="614"/>
      <c r="AH42" s="614"/>
      <c r="AI42" s="614"/>
      <c r="AJ42" s="614"/>
      <c r="AK42" s="614"/>
      <c r="AL42" s="614"/>
      <c r="AM42" s="614"/>
      <c r="AN42" s="613"/>
      <c r="AO42" s="613"/>
      <c r="AP42" s="613"/>
    </row>
    <row r="43" spans="1:42" s="615" customFormat="1" ht="12.5" x14ac:dyDescent="0.25">
      <c r="A43" s="53"/>
      <c r="B43" s="504"/>
      <c r="C43" s="352"/>
      <c r="D43" s="3"/>
      <c r="E43" s="3"/>
      <c r="F43" s="617"/>
      <c r="G43" s="509"/>
      <c r="H43" s="291" t="str">
        <f t="shared" si="2"/>
        <v/>
      </c>
      <c r="I43" s="524"/>
      <c r="J43" s="606"/>
      <c r="K43" s="607"/>
      <c r="L43" s="608"/>
      <c r="M43" s="609"/>
      <c r="N43" s="601"/>
      <c r="O43" s="602"/>
      <c r="P43" s="603"/>
      <c r="Q43" s="603"/>
      <c r="R43" s="610"/>
      <c r="S43" s="611"/>
      <c r="T43" s="611"/>
      <c r="U43" s="611"/>
      <c r="V43" s="611"/>
      <c r="W43" s="612"/>
      <c r="X43" s="613"/>
      <c r="Y43" s="613"/>
      <c r="Z43" s="613"/>
      <c r="AA43" s="613"/>
      <c r="AB43" s="613"/>
      <c r="AC43" s="613"/>
      <c r="AD43" s="613"/>
      <c r="AE43" s="614"/>
      <c r="AF43" s="614"/>
      <c r="AG43" s="614"/>
      <c r="AH43" s="614"/>
      <c r="AI43" s="614"/>
      <c r="AJ43" s="614"/>
      <c r="AK43" s="614"/>
      <c r="AL43" s="614"/>
      <c r="AM43" s="614"/>
      <c r="AN43" s="613"/>
      <c r="AO43" s="613"/>
      <c r="AP43" s="613"/>
    </row>
    <row r="44" spans="1:42" s="615" customFormat="1" ht="17.25" customHeight="1" x14ac:dyDescent="0.25">
      <c r="A44" s="53"/>
      <c r="B44" s="504" t="s">
        <v>556</v>
      </c>
      <c r="C44" s="352" t="s">
        <v>557</v>
      </c>
      <c r="D44" s="3" t="s">
        <v>499</v>
      </c>
      <c r="E44" s="3"/>
      <c r="F44" s="617">
        <v>1356</v>
      </c>
      <c r="G44" s="171">
        <v>0</v>
      </c>
      <c r="H44" s="290">
        <f t="shared" si="2"/>
        <v>0</v>
      </c>
      <c r="I44" s="524"/>
      <c r="J44" s="606"/>
      <c r="K44" s="607"/>
      <c r="L44" s="608"/>
      <c r="M44" s="609"/>
      <c r="N44" s="601"/>
      <c r="O44" s="602"/>
      <c r="P44" s="603"/>
      <c r="Q44" s="603"/>
      <c r="R44" s="610"/>
      <c r="S44" s="611"/>
      <c r="T44" s="611"/>
      <c r="U44" s="611"/>
      <c r="V44" s="611"/>
      <c r="W44" s="612"/>
      <c r="X44" s="613"/>
      <c r="Y44" s="613"/>
      <c r="Z44" s="613"/>
      <c r="AA44" s="613"/>
      <c r="AB44" s="613"/>
      <c r="AC44" s="613"/>
      <c r="AD44" s="613"/>
      <c r="AE44" s="614"/>
      <c r="AF44" s="614"/>
      <c r="AG44" s="614"/>
      <c r="AH44" s="614"/>
      <c r="AI44" s="614"/>
      <c r="AJ44" s="614"/>
      <c r="AK44" s="614"/>
      <c r="AL44" s="614"/>
      <c r="AM44" s="614"/>
      <c r="AN44" s="613"/>
      <c r="AO44" s="613"/>
      <c r="AP44" s="613"/>
    </row>
    <row r="45" spans="1:42" s="25" customFormat="1" ht="12" customHeight="1" x14ac:dyDescent="0.25">
      <c r="A45" s="53"/>
      <c r="B45" s="7"/>
      <c r="C45" s="352"/>
      <c r="D45" s="3"/>
      <c r="E45" s="3"/>
      <c r="F45" s="618"/>
      <c r="G45" s="509"/>
      <c r="H45" s="509" t="str">
        <f t="shared" ref="H45" si="3">IF(D45="","",F45*G45)</f>
        <v/>
      </c>
      <c r="I45" s="476"/>
      <c r="J45" s="217"/>
      <c r="K45" s="218"/>
      <c r="L45" s="219"/>
      <c r="M45" s="220"/>
      <c r="N45" s="220"/>
      <c r="R45" s="517"/>
      <c r="T45" s="53"/>
      <c r="U45" s="53"/>
      <c r="V45" s="53"/>
      <c r="W45" s="53"/>
      <c r="X45" s="53"/>
      <c r="Y45" s="53"/>
      <c r="Z45" s="53"/>
    </row>
    <row r="46" spans="1:42" s="25" customFormat="1" ht="22.5" customHeight="1" x14ac:dyDescent="0.25">
      <c r="A46" s="53"/>
      <c r="B46" s="29" t="str">
        <f>B11</f>
        <v>C10.1</v>
      </c>
      <c r="C46" s="28" t="str">
        <f>"TOTAL CARRIED FORWARD"&amp;IF(H46=H$1," TO SUMMARY ")</f>
        <v xml:space="preserve">TOTAL CARRIED FORWARD TO SUMMARY </v>
      </c>
      <c r="D46" s="469"/>
      <c r="E46" s="469"/>
      <c r="F46" s="470"/>
      <c r="G46" s="471"/>
      <c r="H46" s="619">
        <f>SUM(H10:H45)</f>
        <v>0</v>
      </c>
      <c r="I46" s="486"/>
      <c r="J46" s="254"/>
      <c r="K46" s="254"/>
      <c r="L46" s="255"/>
      <c r="M46" s="256"/>
      <c r="N46" s="256"/>
      <c r="R46" s="517"/>
      <c r="T46" s="53"/>
      <c r="U46" s="53"/>
      <c r="V46" s="53"/>
      <c r="W46" s="53"/>
      <c r="X46" s="53"/>
      <c r="Y46" s="53"/>
      <c r="Z46" s="53"/>
    </row>
    <row r="47" spans="1:42" ht="6" customHeight="1" x14ac:dyDescent="0.25">
      <c r="L47" s="71"/>
    </row>
    <row r="48" spans="1:42" ht="12" customHeight="1" x14ac:dyDescent="0.25">
      <c r="L48" s="71"/>
    </row>
  </sheetData>
  <sheetProtection algorithmName="SHA-512" hashValue="WOyioWwQ+ZgXCklyNuDncMSDFmjko7WNFFSA1tNs1ir4hlxNlYWaKsDAHEanHKCgA7vqvXrsXNRrYJA34eca6A==" saltValue="f2VRNUStvIdlobYQvXijAw==" spinCount="100000" sheet="1" objects="1" scenarios="1"/>
  <mergeCells count="4">
    <mergeCell ref="C15:C16"/>
    <mergeCell ref="F3:H3"/>
    <mergeCell ref="F6:H6"/>
    <mergeCell ref="B7:H7"/>
  </mergeCells>
  <dataValidations count="1">
    <dataValidation type="custom" allowBlank="1" showInputMessage="1" showErrorMessage="1" errorTitle="Invalid rate" error="A value with an invalid decimal part_x000a_was entered." sqref="G15" xr:uid="{332054CE-C3D3-4281-8046-908AEE438037}">
      <formula1>(G15)-TRUNC(G15,2)=0</formula1>
    </dataValidation>
  </dataValidations>
  <pageMargins left="0.43307086614173229" right="0.31496062992125984" top="0.43307086614173229" bottom="0.62992125984251968" header="0.35433070866141736" footer="0.31496062992125984"/>
  <pageSetup paperSize="9" scale="90"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D2446BFA-ECC1-4C68-8D51-2AD27D2E9961}">
            <xm:f>AND(Home!$C$8=FALSE,$D10&lt;&gt;"P C Sum",$D10&lt;&gt;"PC Sum",$D10&lt;&gt;"P Sum",$D10&lt;&gt;"Prov Sum")</xm:f>
            <x14:dxf>
              <font>
                <color theme="0"/>
              </font>
            </x14:dxf>
          </x14:cfRule>
          <xm:sqref>G10:H46</xm:sqref>
        </x14:conditionalFormatting>
        <x14:conditionalFormatting xmlns:xm="http://schemas.microsoft.com/office/excel/2006/main">
          <x14:cfRule type="expression" priority="13" id="{0D2AC0DD-7BC9-45A8-887F-4DEF572C66EF}">
            <xm:f>AND(Home!$C$8=FALSE,#REF!&lt;&gt;"P C Sum",#REF!&lt;&gt;"PC Sum",#REF!&lt;&gt;"P Sum",#REF!&lt;&gt;"Prov Sum")</xm:f>
            <x14:dxf>
              <font>
                <color theme="0"/>
              </font>
            </x14:dxf>
          </x14:cfRule>
          <xm:sqref>K46:N46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2">
    <tabColor theme="9" tint="0.59999389629810485"/>
  </sheetPr>
  <dimension ref="A1:O21"/>
  <sheetViews>
    <sheetView showGridLines="0" view="pageBreakPreview" zoomScale="145" zoomScaleSheetLayoutView="145" workbookViewId="0">
      <pane xSplit="5" ySplit="2" topLeftCell="F3" activePane="bottomRight" state="frozen"/>
      <selection activeCell="F47" sqref="F47"/>
      <selection pane="topRight" activeCell="F47" sqref="F47"/>
      <selection pane="bottomLeft" activeCell="F47" sqref="F47"/>
      <selection pane="bottomRight" activeCell="J5" sqref="J5"/>
    </sheetView>
  </sheetViews>
  <sheetFormatPr defaultColWidth="8.81640625" defaultRowHeight="11.5" x14ac:dyDescent="0.25"/>
  <cols>
    <col min="1" max="1" width="1.1796875" style="53" customWidth="1"/>
    <col min="2" max="2" width="9.81640625" style="376" customWidth="1"/>
    <col min="3" max="3" width="41.1796875" style="377" customWidth="1"/>
    <col min="4" max="4" width="9" style="378" customWidth="1"/>
    <col min="5" max="5" width="4.453125" style="378" customWidth="1"/>
    <col min="6" max="6" width="12.54296875" style="378" customWidth="1"/>
    <col min="7" max="7" width="12.1796875" style="53" customWidth="1"/>
    <col min="8" max="8" width="16.453125" style="417" customWidth="1"/>
    <col min="9" max="9" width="1.1796875" style="417" customWidth="1"/>
    <col min="10" max="10" width="13.54296875" style="57" customWidth="1"/>
    <col min="11" max="12" width="14.1796875" style="57" customWidth="1"/>
    <col min="13" max="13" width="14.1796875" style="23" customWidth="1"/>
    <col min="14" max="16384" width="8.81640625" style="53"/>
  </cols>
  <sheetData>
    <row r="1" spans="1:15" x14ac:dyDescent="0.25">
      <c r="B1" s="54"/>
      <c r="C1" s="24" t="s">
        <v>61</v>
      </c>
      <c r="D1" s="25"/>
      <c r="E1" s="25"/>
      <c r="F1" s="26" t="s">
        <v>93</v>
      </c>
      <c r="G1" s="24">
        <v>1</v>
      </c>
      <c r="H1" s="55">
        <f>MAX(H2:H50)</f>
        <v>0</v>
      </c>
    </row>
    <row r="2" spans="1:15" x14ac:dyDescent="0.25">
      <c r="A2" s="23"/>
      <c r="B2" s="145"/>
      <c r="C2" s="61"/>
      <c r="D2" s="61"/>
      <c r="E2" s="61"/>
      <c r="F2" s="61"/>
      <c r="G2" s="61"/>
      <c r="H2" s="61"/>
      <c r="I2" s="26"/>
      <c r="J2" s="159"/>
      <c r="K2" s="159"/>
      <c r="L2" s="159"/>
      <c r="M2" s="159"/>
    </row>
    <row r="3" spans="1:15" s="23" customFormat="1" x14ac:dyDescent="0.25">
      <c r="B3" s="309" t="str">
        <f>_Client1</f>
        <v>Province of KwaZulu-Natal</v>
      </c>
      <c r="C3" s="24"/>
      <c r="D3" s="25"/>
      <c r="F3" s="753" t="str">
        <f>"Contract No. "&amp;_ContractNo</f>
        <v>Contract No. ZNB02642/00000/00/HOD/INF/25/T</v>
      </c>
      <c r="G3" s="753"/>
      <c r="H3" s="753"/>
      <c r="J3" s="57"/>
      <c r="K3" s="57"/>
      <c r="L3" s="57"/>
      <c r="O3" s="25"/>
    </row>
    <row r="4" spans="1:15" s="23" customFormat="1" x14ac:dyDescent="0.25">
      <c r="B4" s="310" t="str">
        <f>_Client2</f>
        <v>Department of Transport</v>
      </c>
      <c r="C4" s="24"/>
      <c r="D4" s="25"/>
      <c r="E4" s="25"/>
      <c r="F4" s="25"/>
      <c r="G4" s="25"/>
      <c r="H4" s="25"/>
      <c r="J4" s="57"/>
      <c r="K4" s="57"/>
      <c r="L4" s="57"/>
      <c r="N4" s="26"/>
      <c r="O4" s="25"/>
    </row>
    <row r="6" spans="1:15" s="23" customFormat="1" x14ac:dyDescent="0.25">
      <c r="B6" s="381" t="s">
        <v>21</v>
      </c>
      <c r="C6" s="58"/>
      <c r="D6" s="59"/>
      <c r="E6" s="59"/>
      <c r="F6" s="751" t="str">
        <f>"SECTION "&amp;B11</f>
        <v>SECTION C11.9</v>
      </c>
      <c r="G6" s="751"/>
      <c r="H6" s="752"/>
      <c r="I6" s="60"/>
      <c r="J6" s="160"/>
      <c r="K6" s="160"/>
      <c r="L6" s="160"/>
      <c r="M6" s="35"/>
    </row>
    <row r="7" spans="1:15" ht="25.2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09"/>
      <c r="J7" s="161"/>
      <c r="K7" s="161"/>
      <c r="L7" s="161"/>
      <c r="M7" s="162"/>
    </row>
    <row r="8" spans="1:15" ht="8.15" customHeight="1" x14ac:dyDescent="0.25">
      <c r="B8" s="496"/>
      <c r="C8" s="497"/>
      <c r="D8" s="497"/>
      <c r="E8" s="497"/>
      <c r="F8" s="497"/>
      <c r="G8" s="497"/>
      <c r="H8" s="498"/>
      <c r="I8" s="309"/>
      <c r="J8" s="161"/>
      <c r="K8" s="161"/>
      <c r="L8" s="161"/>
      <c r="M8" s="162"/>
    </row>
    <row r="9" spans="1:15" s="61" customFormat="1" ht="20.149999999999999" customHeight="1" x14ac:dyDescent="0.25">
      <c r="B9" s="499" t="s">
        <v>0</v>
      </c>
      <c r="C9" s="500" t="s">
        <v>1</v>
      </c>
      <c r="D9" s="500" t="s">
        <v>2</v>
      </c>
      <c r="E9" s="500" t="s">
        <v>30</v>
      </c>
      <c r="F9" s="500" t="s">
        <v>3</v>
      </c>
      <c r="G9" s="500" t="s">
        <v>4</v>
      </c>
      <c r="H9" s="500" t="s">
        <v>5</v>
      </c>
      <c r="I9" s="10"/>
      <c r="J9" s="159"/>
      <c r="K9" s="159"/>
      <c r="L9" s="159"/>
      <c r="M9" s="10"/>
    </row>
    <row r="10" spans="1:15" x14ac:dyDescent="0.25">
      <c r="B10" s="7"/>
      <c r="C10" s="352"/>
      <c r="D10" s="434"/>
      <c r="E10" s="434"/>
      <c r="F10" s="434"/>
      <c r="G10" s="435"/>
      <c r="H10" s="435" t="str">
        <f t="shared" ref="H10:H15" si="0">IF(D10="","",F10*G10)</f>
        <v/>
      </c>
      <c r="I10" s="479"/>
      <c r="J10" s="217"/>
      <c r="K10" s="218"/>
      <c r="L10" s="219"/>
      <c r="M10" s="220"/>
    </row>
    <row r="11" spans="1:15" ht="23" x14ac:dyDescent="0.25">
      <c r="B11" s="421" t="s">
        <v>353</v>
      </c>
      <c r="C11" s="398" t="s">
        <v>18</v>
      </c>
      <c r="D11" s="434"/>
      <c r="E11" s="434"/>
      <c r="F11" s="434"/>
      <c r="G11" s="435"/>
      <c r="H11" s="435" t="str">
        <f t="shared" si="0"/>
        <v/>
      </c>
      <c r="I11" s="479"/>
      <c r="J11" s="217"/>
      <c r="K11" s="218"/>
      <c r="L11" s="219"/>
      <c r="M11" s="220"/>
    </row>
    <row r="12" spans="1:15" x14ac:dyDescent="0.25">
      <c r="B12" s="7"/>
      <c r="C12" s="352"/>
      <c r="D12" s="434"/>
      <c r="E12" s="434"/>
      <c r="F12" s="434"/>
      <c r="G12" s="435"/>
      <c r="H12" s="435" t="str">
        <f t="shared" si="0"/>
        <v/>
      </c>
      <c r="I12" s="479"/>
      <c r="J12" s="217"/>
      <c r="K12" s="218"/>
      <c r="L12" s="219"/>
      <c r="M12" s="220"/>
    </row>
    <row r="13" spans="1:15" x14ac:dyDescent="0.25">
      <c r="B13" s="7" t="s">
        <v>354</v>
      </c>
      <c r="C13" s="352" t="s">
        <v>19</v>
      </c>
      <c r="D13" s="434"/>
      <c r="E13" s="434"/>
      <c r="F13" s="434"/>
      <c r="G13" s="435"/>
      <c r="H13" s="435" t="str">
        <f t="shared" si="0"/>
        <v/>
      </c>
      <c r="I13" s="479"/>
      <c r="J13" s="217"/>
      <c r="K13" s="218"/>
      <c r="L13" s="219"/>
      <c r="M13" s="220"/>
    </row>
    <row r="14" spans="1:15" x14ac:dyDescent="0.25">
      <c r="B14" s="7"/>
      <c r="C14" s="352"/>
      <c r="D14" s="3"/>
      <c r="E14" s="3"/>
      <c r="F14" s="3"/>
      <c r="G14" s="403"/>
      <c r="H14" s="403" t="str">
        <f t="shared" si="0"/>
        <v/>
      </c>
      <c r="I14" s="479"/>
      <c r="J14" s="217"/>
      <c r="K14" s="218"/>
      <c r="L14" s="219"/>
      <c r="M14" s="220"/>
    </row>
    <row r="15" spans="1:15" x14ac:dyDescent="0.25">
      <c r="B15" s="7" t="s">
        <v>560</v>
      </c>
      <c r="C15" s="352" t="s">
        <v>561</v>
      </c>
      <c r="D15" s="3" t="s">
        <v>12</v>
      </c>
      <c r="E15" s="3"/>
      <c r="F15" s="3">
        <v>8.9060000000000006</v>
      </c>
      <c r="G15" s="171">
        <v>0</v>
      </c>
      <c r="H15" s="290">
        <f t="shared" si="0"/>
        <v>0</v>
      </c>
      <c r="I15" s="401"/>
      <c r="J15" s="521"/>
      <c r="K15" s="521"/>
      <c r="L15" s="522"/>
      <c r="M15" s="220"/>
    </row>
    <row r="16" spans="1:15" x14ac:dyDescent="0.25">
      <c r="B16" s="7"/>
      <c r="C16" s="352"/>
      <c r="D16" s="3"/>
      <c r="E16" s="3"/>
      <c r="F16" s="3"/>
      <c r="G16" s="620"/>
      <c r="H16" s="291"/>
      <c r="I16" s="401"/>
      <c r="J16" s="521"/>
      <c r="K16" s="521"/>
      <c r="L16" s="522"/>
      <c r="M16" s="220"/>
    </row>
    <row r="17" spans="2:13" ht="9" customHeight="1" x14ac:dyDescent="0.25">
      <c r="B17" s="7"/>
      <c r="C17" s="352"/>
      <c r="D17" s="3"/>
      <c r="E17" s="3"/>
      <c r="F17" s="3"/>
      <c r="G17" s="403"/>
      <c r="H17" s="403" t="str">
        <f t="shared" ref="H17" si="1">IF(D17="","",F17*G17)</f>
        <v/>
      </c>
      <c r="I17" s="479"/>
      <c r="J17" s="217"/>
      <c r="K17" s="218"/>
      <c r="L17" s="219"/>
      <c r="M17" s="220"/>
    </row>
    <row r="18" spans="2:13" s="416" customFormat="1" ht="22.5" customHeight="1" x14ac:dyDescent="0.25">
      <c r="B18" s="29" t="str">
        <f>B11</f>
        <v>C11.9</v>
      </c>
      <c r="C18" s="28" t="str">
        <f>"TOTAL CARRIED FORWARD"&amp;IF(H18=H$1," TO SUMMARY ")</f>
        <v xml:space="preserve">TOTAL CARRIED FORWARD TO SUMMARY </v>
      </c>
      <c r="D18" s="21"/>
      <c r="E18" s="21"/>
      <c r="F18" s="22"/>
      <c r="G18" s="437"/>
      <c r="H18" s="413">
        <f>SUM(H9:H17)</f>
        <v>0</v>
      </c>
      <c r="I18" s="414"/>
      <c r="J18" s="254"/>
      <c r="K18" s="254"/>
      <c r="L18" s="255"/>
      <c r="M18" s="256"/>
    </row>
    <row r="19" spans="2:13" ht="6.75" customHeight="1" x14ac:dyDescent="0.25">
      <c r="L19" s="71"/>
    </row>
    <row r="20" spans="2:13" x14ac:dyDescent="0.25">
      <c r="L20" s="71"/>
    </row>
    <row r="21" spans="2:13" x14ac:dyDescent="0.25">
      <c r="L21" s="71"/>
    </row>
  </sheetData>
  <sheetProtection algorithmName="SHA-512" hashValue="/3XYzROEOYzsezn6eddRPo3ip7gHB6nLa4pm1mqabWBd28Sa0RAUjugBv7ZKsr/c4t80uZzof3K6Ijc6NDdpkg==" saltValue="WDeNqwmDpH62xKBgR8Z1ng==" spinCount="100000" sheet="1" objects="1" scenarios="1"/>
  <mergeCells count="3">
    <mergeCell ref="F6:H6"/>
    <mergeCell ref="F3:H3"/>
    <mergeCell ref="B7:H7"/>
  </mergeCells>
  <phoneticPr fontId="0" type="noConversion"/>
  <conditionalFormatting sqref="H16:I16 I15">
    <cfRule type="cellIs" dxfId="51" priority="13" stopIfTrue="1" operator="lessThan">
      <formula>0.005</formula>
    </cfRule>
  </conditionalFormatting>
  <pageMargins left="0.43307086614173229" right="0.31496062992125984" top="0.43307086614173229" bottom="0.62992125984251968" header="0.35433070866141736" footer="0.31496062992125984"/>
  <pageSetup paperSize="9" scale="90"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1B953C62-E663-4F5D-AA87-5A470F0269EB}">
            <xm:f>AND(Home!$C$8=FALSE,$D10&lt;&gt;"P C Sum",$D10&lt;&gt;"PC Sum",$D10&lt;&gt;"P Sum",$D10&lt;&gt;"Prov Sum")</xm:f>
            <x14:dxf>
              <font>
                <color theme="0"/>
              </font>
            </x14:dxf>
          </x14:cfRule>
          <xm:sqref>G10:H18</xm:sqref>
        </x14:conditionalFormatting>
        <x14:conditionalFormatting xmlns:xm="http://schemas.microsoft.com/office/excel/2006/main">
          <x14:cfRule type="expression" priority="8" id="{16D6565F-551C-4192-B7EB-24850F714219}">
            <xm:f>AND(Home!$C$8=FALSE,#REF!&lt;&gt;"P C Sum",#REF!&lt;&gt;"PC Sum",#REF!&lt;&gt;"P Sum",#REF!&lt;&gt;"Prov Sum")</xm:f>
            <x14:dxf>
              <font>
                <color theme="0"/>
              </font>
            </x14:dxf>
          </x14:cfRule>
          <xm:sqref>K18:M18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9A97A-3145-4305-B15E-6F0C8722A7F1}">
  <sheetPr codeName="Sheet13">
    <tabColor theme="9" tint="0.59999389629810485"/>
  </sheetPr>
  <dimension ref="A1:O21"/>
  <sheetViews>
    <sheetView showGridLines="0" view="pageBreakPreview" zoomScale="145" zoomScaleSheetLayoutView="145" workbookViewId="0">
      <pane xSplit="5" ySplit="2" topLeftCell="F3" activePane="bottomRight" state="frozen"/>
      <selection activeCell="F47" sqref="F47"/>
      <selection pane="topRight" activeCell="F47" sqref="F47"/>
      <selection pane="bottomLeft" activeCell="F47" sqref="F47"/>
      <selection pane="bottomRight" activeCell="J7" sqref="J7"/>
    </sheetView>
  </sheetViews>
  <sheetFormatPr defaultColWidth="8.81640625" defaultRowHeight="11.5" x14ac:dyDescent="0.25"/>
  <cols>
    <col min="1" max="1" width="1.1796875" style="53" customWidth="1"/>
    <col min="2" max="2" width="9.81640625" style="376" customWidth="1"/>
    <col min="3" max="3" width="41.1796875" style="377" customWidth="1"/>
    <col min="4" max="4" width="9" style="378" customWidth="1"/>
    <col min="5" max="5" width="4.453125" style="378" customWidth="1"/>
    <col min="6" max="6" width="12.36328125" style="378" customWidth="1"/>
    <col min="7" max="7" width="12.1796875" style="53" customWidth="1"/>
    <col min="8" max="8" width="16.81640625" style="417" customWidth="1"/>
    <col min="9" max="9" width="1.1796875" style="417" customWidth="1"/>
    <col min="10" max="10" width="13.54296875" style="57" customWidth="1"/>
    <col min="11" max="12" width="14.1796875" style="57" customWidth="1"/>
    <col min="13" max="13" width="14.1796875" style="23" customWidth="1"/>
    <col min="14" max="16384" width="8.81640625" style="53"/>
  </cols>
  <sheetData>
    <row r="1" spans="1:15" x14ac:dyDescent="0.25">
      <c r="B1" s="54"/>
      <c r="C1" s="24" t="s">
        <v>61</v>
      </c>
      <c r="D1" s="25"/>
      <c r="E1" s="25"/>
      <c r="F1" s="26" t="s">
        <v>93</v>
      </c>
      <c r="G1" s="24">
        <v>1</v>
      </c>
      <c r="H1" s="55">
        <f>MAX(H2:H50)</f>
        <v>0</v>
      </c>
    </row>
    <row r="2" spans="1:15" x14ac:dyDescent="0.25">
      <c r="A2" s="23"/>
      <c r="B2" s="145"/>
      <c r="C2" s="61"/>
      <c r="D2" s="61"/>
      <c r="E2" s="61"/>
      <c r="F2" s="61"/>
      <c r="G2" s="61"/>
      <c r="H2" s="61"/>
      <c r="I2" s="26"/>
      <c r="J2" s="159"/>
      <c r="K2" s="159"/>
      <c r="L2" s="159"/>
      <c r="M2" s="159"/>
    </row>
    <row r="3" spans="1:15" s="23" customFormat="1" x14ac:dyDescent="0.25">
      <c r="B3" s="309" t="str">
        <f>_Client1</f>
        <v>Province of KwaZulu-Natal</v>
      </c>
      <c r="C3" s="24"/>
      <c r="D3" s="25"/>
      <c r="F3" s="753" t="str">
        <f>"Contract No. "&amp;_ContractNo</f>
        <v>Contract No. ZNB02642/00000/00/HOD/INF/25/T</v>
      </c>
      <c r="G3" s="753"/>
      <c r="H3" s="753"/>
      <c r="J3" s="57"/>
      <c r="K3" s="57"/>
      <c r="L3" s="57"/>
      <c r="O3" s="25"/>
    </row>
    <row r="4" spans="1:15" s="23" customFormat="1" x14ac:dyDescent="0.25">
      <c r="B4" s="310" t="str">
        <f>_Client2</f>
        <v>Department of Transport</v>
      </c>
      <c r="C4" s="24"/>
      <c r="D4" s="25"/>
      <c r="E4" s="25"/>
      <c r="F4" s="25"/>
      <c r="G4" s="25"/>
      <c r="H4" s="25"/>
      <c r="J4" s="57"/>
      <c r="K4" s="57"/>
      <c r="L4" s="57"/>
      <c r="N4" s="26"/>
      <c r="O4" s="25"/>
    </row>
    <row r="6" spans="1:15" s="23" customFormat="1" x14ac:dyDescent="0.25">
      <c r="B6" s="381" t="s">
        <v>21</v>
      </c>
      <c r="C6" s="58"/>
      <c r="D6" s="59"/>
      <c r="E6" s="59"/>
      <c r="F6" s="751" t="str">
        <f>"SECTION "&amp;B11</f>
        <v>SECTION C13.8</v>
      </c>
      <c r="G6" s="751"/>
      <c r="H6" s="752"/>
      <c r="I6" s="60"/>
      <c r="J6" s="160"/>
      <c r="K6" s="160"/>
      <c r="L6" s="160"/>
      <c r="M6" s="35"/>
    </row>
    <row r="7" spans="1:15" ht="25.7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09"/>
      <c r="J7" s="161"/>
      <c r="K7" s="161"/>
      <c r="L7" s="161"/>
      <c r="M7" s="162"/>
    </row>
    <row r="8" spans="1:15" ht="8.15" customHeight="1" x14ac:dyDescent="0.25">
      <c r="B8" s="496"/>
      <c r="C8" s="497"/>
      <c r="D8" s="497"/>
      <c r="E8" s="497"/>
      <c r="F8" s="497"/>
      <c r="G8" s="497"/>
      <c r="H8" s="498"/>
      <c r="I8" s="309"/>
      <c r="J8" s="161"/>
      <c r="K8" s="161"/>
      <c r="L8" s="161"/>
      <c r="M8" s="162"/>
    </row>
    <row r="9" spans="1:15" s="61" customFormat="1" ht="20.149999999999999" customHeight="1" x14ac:dyDescent="0.25">
      <c r="B9" s="499" t="s">
        <v>0</v>
      </c>
      <c r="C9" s="500" t="s">
        <v>1</v>
      </c>
      <c r="D9" s="500" t="s">
        <v>2</v>
      </c>
      <c r="E9" s="500" t="s">
        <v>30</v>
      </c>
      <c r="F9" s="500" t="s">
        <v>3</v>
      </c>
      <c r="G9" s="500" t="s">
        <v>4</v>
      </c>
      <c r="H9" s="500" t="s">
        <v>5</v>
      </c>
      <c r="I9" s="10"/>
      <c r="J9" s="159"/>
      <c r="K9" s="159"/>
      <c r="L9" s="159"/>
      <c r="M9" s="10"/>
    </row>
    <row r="10" spans="1:15" x14ac:dyDescent="0.25">
      <c r="B10" s="7"/>
      <c r="C10" s="352"/>
      <c r="D10" s="434"/>
      <c r="E10" s="434"/>
      <c r="F10" s="434"/>
      <c r="G10" s="435"/>
      <c r="H10" s="435" t="str">
        <f t="shared" ref="H10:H14" si="0">IF(D10="","",F10*G10)</f>
        <v/>
      </c>
      <c r="I10" s="479"/>
      <c r="J10" s="217"/>
      <c r="K10" s="218"/>
      <c r="L10" s="219"/>
      <c r="M10" s="220"/>
    </row>
    <row r="11" spans="1:15" x14ac:dyDescent="0.25">
      <c r="B11" s="421" t="s">
        <v>642</v>
      </c>
      <c r="C11" s="398" t="s">
        <v>643</v>
      </c>
      <c r="D11" s="434"/>
      <c r="E11" s="434"/>
      <c r="F11" s="434"/>
      <c r="G11" s="435"/>
      <c r="H11" s="435" t="str">
        <f t="shared" si="0"/>
        <v/>
      </c>
      <c r="I11" s="479"/>
      <c r="J11" s="217"/>
      <c r="K11" s="218"/>
      <c r="L11" s="219"/>
      <c r="M11" s="220"/>
    </row>
    <row r="12" spans="1:15" x14ac:dyDescent="0.25">
      <c r="B12" s="7"/>
      <c r="C12" s="352"/>
      <c r="D12" s="434"/>
      <c r="E12" s="434"/>
      <c r="F12" s="434"/>
      <c r="G12" s="435"/>
      <c r="H12" s="435" t="str">
        <f t="shared" si="0"/>
        <v/>
      </c>
      <c r="I12" s="479"/>
      <c r="J12" s="217"/>
      <c r="K12" s="218"/>
      <c r="L12" s="219"/>
      <c r="M12" s="220"/>
    </row>
    <row r="13" spans="1:15" ht="23" x14ac:dyDescent="0.25">
      <c r="B13" s="7" t="s">
        <v>645</v>
      </c>
      <c r="C13" s="352" t="s">
        <v>644</v>
      </c>
      <c r="D13" s="129" t="s">
        <v>15</v>
      </c>
      <c r="E13" s="129"/>
      <c r="F13" s="128">
        <f>70*6</f>
        <v>420</v>
      </c>
      <c r="G13" s="171">
        <v>0</v>
      </c>
      <c r="H13" s="290">
        <f>IF(D13="","",F13*G13)</f>
        <v>0</v>
      </c>
      <c r="I13" s="479"/>
      <c r="J13" s="217"/>
      <c r="K13" s="218"/>
      <c r="L13" s="219"/>
      <c r="M13" s="220"/>
    </row>
    <row r="14" spans="1:15" x14ac:dyDescent="0.25">
      <c r="B14" s="7"/>
      <c r="C14" s="352"/>
      <c r="D14" s="3"/>
      <c r="E14" s="3"/>
      <c r="F14" s="3"/>
      <c r="G14" s="403"/>
      <c r="H14" s="403" t="str">
        <f t="shared" si="0"/>
        <v/>
      </c>
      <c r="I14" s="479"/>
      <c r="J14" s="217"/>
      <c r="K14" s="218"/>
      <c r="L14" s="219"/>
      <c r="M14" s="220"/>
    </row>
    <row r="15" spans="1:15" s="23" customFormat="1" ht="46" x14ac:dyDescent="0.25">
      <c r="B15" s="9" t="s">
        <v>641</v>
      </c>
      <c r="C15" s="2" t="s">
        <v>658</v>
      </c>
      <c r="D15" s="3" t="s">
        <v>10</v>
      </c>
      <c r="E15" s="3"/>
      <c r="F15" s="3">
        <v>6</v>
      </c>
      <c r="G15" s="171">
        <v>0</v>
      </c>
      <c r="H15" s="290">
        <f>IF(D15="","",F15*G15)</f>
        <v>0</v>
      </c>
      <c r="I15" s="532"/>
      <c r="J15" s="279"/>
      <c r="K15" s="279"/>
      <c r="L15" s="280"/>
      <c r="M15" s="281"/>
    </row>
    <row r="16" spans="1:15" x14ac:dyDescent="0.25">
      <c r="B16" s="7"/>
      <c r="C16" s="352"/>
      <c r="D16" s="3"/>
      <c r="E16" s="3"/>
      <c r="F16" s="3"/>
      <c r="G16" s="620"/>
      <c r="H16" s="291"/>
      <c r="I16" s="401"/>
      <c r="J16" s="521"/>
      <c r="K16" s="521"/>
      <c r="L16" s="522"/>
      <c r="M16" s="220"/>
    </row>
    <row r="17" spans="2:13" ht="9" customHeight="1" x14ac:dyDescent="0.25">
      <c r="B17" s="7"/>
      <c r="C17" s="352"/>
      <c r="D17" s="434"/>
      <c r="E17" s="434"/>
      <c r="F17" s="434"/>
      <c r="G17" s="435"/>
      <c r="H17" s="435" t="str">
        <f t="shared" ref="H17" si="1">IF(D17="","",F17*G17)</f>
        <v/>
      </c>
      <c r="I17" s="479"/>
      <c r="J17" s="217"/>
      <c r="K17" s="218"/>
      <c r="L17" s="219"/>
      <c r="M17" s="220"/>
    </row>
    <row r="18" spans="2:13" s="416" customFormat="1" ht="22.5" customHeight="1" x14ac:dyDescent="0.25">
      <c r="B18" s="29" t="str">
        <f>B11</f>
        <v>C13.8</v>
      </c>
      <c r="C18" s="28" t="str">
        <f>"TOTAL CARRIED FORWARD"&amp;IF(H18=H$1," TO SUMMARY ")</f>
        <v xml:space="preserve">TOTAL CARRIED FORWARD TO SUMMARY </v>
      </c>
      <c r="D18" s="21"/>
      <c r="E18" s="21"/>
      <c r="F18" s="22"/>
      <c r="G18" s="437"/>
      <c r="H18" s="621">
        <f>SUM(H10:H17)</f>
        <v>0</v>
      </c>
      <c r="I18" s="414"/>
      <c r="J18" s="254"/>
      <c r="K18" s="254"/>
      <c r="L18" s="255"/>
      <c r="M18" s="256"/>
    </row>
    <row r="19" spans="2:13" ht="6.75" customHeight="1" x14ac:dyDescent="0.25">
      <c r="L19" s="71"/>
    </row>
    <row r="20" spans="2:13" x14ac:dyDescent="0.25">
      <c r="L20" s="71"/>
    </row>
    <row r="21" spans="2:13" x14ac:dyDescent="0.25">
      <c r="L21" s="71"/>
    </row>
  </sheetData>
  <sheetProtection algorithmName="SHA-512" hashValue="LAGwcDc/16kvYyg+d9Q5fHoG33EOS4AhWtAHnC+pUM0hUI/xDKtHL8O+IqgAftxUQT4JdDqdYvbxZhfD0b255A==" saltValue="oBv9IvAnHhYR9QQVPc6qaA==" spinCount="100000" sheet="1" objects="1" scenarios="1"/>
  <mergeCells count="3">
    <mergeCell ref="F3:H3"/>
    <mergeCell ref="F6:H6"/>
    <mergeCell ref="B7:H7"/>
  </mergeCells>
  <conditionalFormatting sqref="H16:I16 I15">
    <cfRule type="cellIs" dxfId="48" priority="8" stopIfTrue="1" operator="lessThan">
      <formula>0.005</formula>
    </cfRule>
  </conditionalFormatting>
  <pageMargins left="0.43307086614173229" right="0.31496062992125984" top="0.43307086614173229" bottom="0.62992125984251968" header="0.35433070866141736" footer="0.31496062992125984"/>
  <pageSetup paperSize="9" scale="90"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ACA5FAD5-F5B5-4929-8BA5-20203ACF2565}">
            <xm:f>AND(Home!$C$8=FALSE,$D10&lt;&gt;"P C Sum",$D10&lt;&gt;"PC Sum",$D10&lt;&gt;"P Sum",$D10&lt;&gt;"Prov Sum")</xm:f>
            <x14:dxf>
              <font>
                <color theme="0"/>
              </font>
            </x14:dxf>
          </x14:cfRule>
          <xm:sqref>G10:H18</xm:sqref>
        </x14:conditionalFormatting>
        <x14:conditionalFormatting xmlns:xm="http://schemas.microsoft.com/office/excel/2006/main">
          <x14:cfRule type="expression" priority="7" id="{9AD95C9C-CDE4-4A8F-AC67-A0A13F225350}">
            <xm:f>AND(Home!$C$8=FALSE,#REF!&lt;&gt;"P C Sum",#REF!&lt;&gt;"PC Sum",#REF!&lt;&gt;"P Sum",#REF!&lt;&gt;"Prov Sum")</xm:f>
            <x14:dxf>
              <font>
                <color theme="0"/>
              </font>
            </x14:dxf>
          </x14:cfRule>
          <xm:sqref>K18:M18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6F722-BA5D-4FA8-A2C6-4BF44ECDE87E}">
  <sheetPr codeName="Sheet14">
    <tabColor theme="9" tint="0.59999389629810485"/>
  </sheetPr>
  <dimension ref="A1:O23"/>
  <sheetViews>
    <sheetView showGridLines="0" view="pageBreakPreview" zoomScale="130" zoomScaleSheetLayoutView="130" workbookViewId="0">
      <pane xSplit="5" ySplit="2" topLeftCell="F3" activePane="bottomRight" state="frozen"/>
      <selection activeCell="F47" sqref="F47"/>
      <selection pane="topRight" activeCell="F47" sqref="F47"/>
      <selection pane="bottomLeft" activeCell="F47" sqref="F47"/>
      <selection pane="bottomRight" activeCell="J6" sqref="J6"/>
    </sheetView>
  </sheetViews>
  <sheetFormatPr defaultColWidth="8.81640625" defaultRowHeight="11.5" x14ac:dyDescent="0.25"/>
  <cols>
    <col min="1" max="1" width="1.1796875" style="53" customWidth="1"/>
    <col min="2" max="2" width="9.54296875" style="376" customWidth="1"/>
    <col min="3" max="3" width="41.1796875" style="377" customWidth="1"/>
    <col min="4" max="4" width="9" style="378" customWidth="1"/>
    <col min="5" max="5" width="4.453125" style="378" customWidth="1"/>
    <col min="6" max="6" width="12.36328125" style="378" customWidth="1"/>
    <col min="7" max="7" width="12.1796875" style="53" customWidth="1"/>
    <col min="8" max="8" width="16.36328125" style="417" customWidth="1"/>
    <col min="9" max="9" width="1.1796875" style="417" customWidth="1"/>
    <col min="10" max="10" width="13.54296875" style="57" customWidth="1"/>
    <col min="11" max="12" width="14.1796875" style="57" customWidth="1"/>
    <col min="13" max="13" width="14.1796875" style="23" customWidth="1"/>
    <col min="14" max="16384" width="8.81640625" style="53"/>
  </cols>
  <sheetData>
    <row r="1" spans="1:15" x14ac:dyDescent="0.25">
      <c r="B1" s="54"/>
      <c r="C1" s="24" t="s">
        <v>61</v>
      </c>
      <c r="D1" s="25"/>
      <c r="E1" s="25"/>
      <c r="F1" s="26" t="s">
        <v>93</v>
      </c>
      <c r="G1" s="24">
        <v>1</v>
      </c>
      <c r="H1" s="55">
        <f>MAX(H2:H52)</f>
        <v>350000</v>
      </c>
    </row>
    <row r="2" spans="1:15" x14ac:dyDescent="0.25">
      <c r="A2" s="23"/>
      <c r="B2" s="145"/>
      <c r="C2" s="61"/>
      <c r="D2" s="61"/>
      <c r="E2" s="61"/>
      <c r="F2" s="61"/>
      <c r="G2" s="61"/>
      <c r="H2" s="61"/>
      <c r="I2" s="26"/>
      <c r="J2" s="159"/>
      <c r="K2" s="159"/>
      <c r="L2" s="159"/>
      <c r="M2" s="159"/>
    </row>
    <row r="3" spans="1:15" s="23" customFormat="1" x14ac:dyDescent="0.25">
      <c r="B3" s="309" t="str">
        <f>_Client1</f>
        <v>Province of KwaZulu-Natal</v>
      </c>
      <c r="C3" s="24"/>
      <c r="D3" s="25"/>
      <c r="F3" s="753" t="str">
        <f>"Contract No. "&amp;_ContractNo</f>
        <v>Contract No. ZNB02642/00000/00/HOD/INF/25/T</v>
      </c>
      <c r="G3" s="753"/>
      <c r="H3" s="753"/>
      <c r="J3" s="57"/>
      <c r="K3" s="57"/>
      <c r="L3" s="57"/>
      <c r="O3" s="25"/>
    </row>
    <row r="4" spans="1:15" s="23" customFormat="1" x14ac:dyDescent="0.25">
      <c r="B4" s="310" t="str">
        <f>_Client2</f>
        <v>Department of Transport</v>
      </c>
      <c r="C4" s="24"/>
      <c r="D4" s="25"/>
      <c r="E4" s="25"/>
      <c r="F4" s="25"/>
      <c r="G4" s="25"/>
      <c r="H4" s="25"/>
      <c r="J4" s="57"/>
      <c r="K4" s="57"/>
      <c r="L4" s="57"/>
      <c r="N4" s="26"/>
      <c r="O4" s="25"/>
    </row>
    <row r="6" spans="1:15" s="23" customFormat="1" x14ac:dyDescent="0.25">
      <c r="B6" s="381" t="s">
        <v>21</v>
      </c>
      <c r="C6" s="58"/>
      <c r="D6" s="59"/>
      <c r="E6" s="59"/>
      <c r="F6" s="751" t="str">
        <f>"SECTION "&amp;B11</f>
        <v>SECTION C20.1</v>
      </c>
      <c r="G6" s="751"/>
      <c r="H6" s="752"/>
      <c r="I6" s="60"/>
      <c r="J6" s="160"/>
      <c r="K6" s="160"/>
      <c r="L6" s="160"/>
      <c r="M6" s="35"/>
    </row>
    <row r="7" spans="1:15" ht="26.4"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09"/>
      <c r="J7" s="161"/>
      <c r="K7" s="161"/>
      <c r="L7" s="161"/>
      <c r="M7" s="162"/>
    </row>
    <row r="8" spans="1:15" ht="8.15" customHeight="1" x14ac:dyDescent="0.25">
      <c r="B8" s="496"/>
      <c r="C8" s="497"/>
      <c r="D8" s="497"/>
      <c r="E8" s="497"/>
      <c r="F8" s="497"/>
      <c r="G8" s="497"/>
      <c r="H8" s="498"/>
      <c r="I8" s="309"/>
      <c r="J8" s="161"/>
      <c r="K8" s="161"/>
      <c r="L8" s="161"/>
      <c r="M8" s="162"/>
    </row>
    <row r="9" spans="1:15" s="61" customFormat="1" ht="20.149999999999999" customHeight="1" x14ac:dyDescent="0.25">
      <c r="B9" s="499" t="s">
        <v>0</v>
      </c>
      <c r="C9" s="500" t="s">
        <v>1</v>
      </c>
      <c r="D9" s="500" t="s">
        <v>2</v>
      </c>
      <c r="E9" s="500" t="s">
        <v>30</v>
      </c>
      <c r="F9" s="500" t="s">
        <v>3</v>
      </c>
      <c r="G9" s="500" t="s">
        <v>4</v>
      </c>
      <c r="H9" s="500" t="s">
        <v>5</v>
      </c>
      <c r="I9" s="10"/>
      <c r="J9" s="159"/>
      <c r="K9" s="159"/>
      <c r="L9" s="159"/>
      <c r="M9" s="10"/>
    </row>
    <row r="10" spans="1:15" x14ac:dyDescent="0.25">
      <c r="B10" s="7"/>
      <c r="C10" s="352"/>
      <c r="D10" s="434"/>
      <c r="E10" s="434"/>
      <c r="F10" s="434"/>
      <c r="G10" s="435"/>
      <c r="H10" s="435" t="str">
        <f t="shared" ref="H10:H19" si="0">IF(D10="","",F10*G10)</f>
        <v/>
      </c>
      <c r="I10" s="479"/>
      <c r="J10" s="217"/>
      <c r="K10" s="218"/>
      <c r="L10" s="219"/>
      <c r="M10" s="220"/>
    </row>
    <row r="11" spans="1:15" ht="23" x14ac:dyDescent="0.25">
      <c r="B11" s="421" t="s">
        <v>455</v>
      </c>
      <c r="C11" s="398" t="s">
        <v>456</v>
      </c>
      <c r="D11" s="434"/>
      <c r="E11" s="434"/>
      <c r="F11" s="434"/>
      <c r="G11" s="435"/>
      <c r="H11" s="435" t="str">
        <f t="shared" si="0"/>
        <v/>
      </c>
      <c r="I11" s="479"/>
      <c r="J11" s="217"/>
      <c r="K11" s="218"/>
      <c r="L11" s="219"/>
      <c r="M11" s="220"/>
    </row>
    <row r="12" spans="1:15" x14ac:dyDescent="0.25">
      <c r="B12" s="7"/>
      <c r="C12" s="352"/>
      <c r="D12" s="434"/>
      <c r="E12" s="434"/>
      <c r="F12" s="434"/>
      <c r="G12" s="435"/>
      <c r="H12" s="435" t="str">
        <f t="shared" si="0"/>
        <v/>
      </c>
      <c r="I12" s="479"/>
      <c r="J12" s="217"/>
      <c r="K12" s="218"/>
      <c r="L12" s="219"/>
      <c r="M12" s="220"/>
    </row>
    <row r="13" spans="1:15" x14ac:dyDescent="0.25">
      <c r="B13" s="7" t="s">
        <v>457</v>
      </c>
      <c r="C13" s="352" t="s">
        <v>458</v>
      </c>
      <c r="D13" s="434"/>
      <c r="E13" s="434"/>
      <c r="F13" s="434"/>
      <c r="G13" s="435"/>
      <c r="H13" s="435" t="str">
        <f t="shared" si="0"/>
        <v/>
      </c>
      <c r="I13" s="479"/>
      <c r="J13" s="217"/>
      <c r="K13" s="218"/>
      <c r="L13" s="219"/>
      <c r="M13" s="220"/>
    </row>
    <row r="14" spans="1:15" x14ac:dyDescent="0.25">
      <c r="B14" s="7"/>
      <c r="C14" s="352"/>
      <c r="D14" s="434"/>
      <c r="E14" s="434"/>
      <c r="F14" s="434"/>
      <c r="G14" s="435"/>
      <c r="H14" s="435" t="str">
        <f t="shared" si="0"/>
        <v/>
      </c>
      <c r="I14" s="479"/>
      <c r="J14" s="217"/>
      <c r="K14" s="218"/>
      <c r="L14" s="219"/>
      <c r="M14" s="220"/>
    </row>
    <row r="15" spans="1:15" x14ac:dyDescent="0.25">
      <c r="B15" s="7"/>
      <c r="C15" s="352" t="s">
        <v>591</v>
      </c>
      <c r="D15" s="3" t="s">
        <v>459</v>
      </c>
      <c r="E15" s="3"/>
      <c r="F15" s="175">
        <v>350000</v>
      </c>
      <c r="G15" s="169">
        <v>1</v>
      </c>
      <c r="H15" s="290">
        <f t="shared" si="0"/>
        <v>350000</v>
      </c>
      <c r="I15" s="401"/>
      <c r="J15" s="521"/>
      <c r="K15" s="521"/>
      <c r="L15" s="219"/>
      <c r="M15" s="220"/>
    </row>
    <row r="16" spans="1:15" x14ac:dyDescent="0.25">
      <c r="B16" s="7"/>
      <c r="C16" s="352"/>
      <c r="D16" s="3"/>
      <c r="E16" s="3"/>
      <c r="F16" s="3"/>
      <c r="G16" s="464"/>
      <c r="H16" s="403" t="str">
        <f t="shared" si="0"/>
        <v/>
      </c>
      <c r="I16" s="479"/>
      <c r="J16" s="217"/>
      <c r="K16" s="218"/>
      <c r="L16" s="219"/>
      <c r="M16" s="220"/>
    </row>
    <row r="17" spans="2:13" ht="23" x14ac:dyDescent="0.25">
      <c r="B17" s="7"/>
      <c r="C17" s="352" t="s">
        <v>460</v>
      </c>
      <c r="D17" s="3" t="s">
        <v>6</v>
      </c>
      <c r="E17" s="3"/>
      <c r="F17" s="622">
        <f>H15</f>
        <v>350000</v>
      </c>
      <c r="G17" s="168">
        <v>0</v>
      </c>
      <c r="H17" s="463">
        <f>IF(D17="","",F17*G17)</f>
        <v>0</v>
      </c>
      <c r="I17" s="479"/>
      <c r="J17" s="217"/>
      <c r="K17" s="218"/>
      <c r="L17" s="219"/>
      <c r="M17" s="220"/>
    </row>
    <row r="18" spans="2:13" x14ac:dyDescent="0.25">
      <c r="B18" s="7"/>
      <c r="C18" s="352"/>
      <c r="D18" s="3"/>
      <c r="E18" s="3"/>
      <c r="F18" s="3"/>
      <c r="G18" s="403"/>
      <c r="H18" s="403" t="str">
        <f t="shared" si="0"/>
        <v/>
      </c>
      <c r="I18" s="479"/>
      <c r="J18" s="217"/>
      <c r="K18" s="218"/>
      <c r="L18" s="219"/>
      <c r="M18" s="220"/>
    </row>
    <row r="19" spans="2:13" ht="9" customHeight="1" x14ac:dyDescent="0.25">
      <c r="B19" s="7"/>
      <c r="C19" s="352"/>
      <c r="D19" s="3"/>
      <c r="E19" s="3"/>
      <c r="F19" s="3"/>
      <c r="G19" s="403"/>
      <c r="H19" s="403" t="str">
        <f t="shared" si="0"/>
        <v/>
      </c>
      <c r="I19" s="479"/>
      <c r="J19" s="217"/>
      <c r="K19" s="218"/>
      <c r="L19" s="219"/>
      <c r="M19" s="220"/>
    </row>
    <row r="20" spans="2:13" s="416" customFormat="1" ht="22.5" customHeight="1" x14ac:dyDescent="0.25">
      <c r="B20" s="29" t="str">
        <f>B11</f>
        <v>C20.1</v>
      </c>
      <c r="C20" s="28" t="str">
        <f>"TOTAL CARRIED FORWARD"&amp;IF(H20=H$1," TO SUMMARY ")</f>
        <v xml:space="preserve">TOTAL CARRIED FORWARD TO SUMMARY </v>
      </c>
      <c r="D20" s="21"/>
      <c r="E20" s="21"/>
      <c r="F20" s="22"/>
      <c r="G20" s="437"/>
      <c r="H20" s="621">
        <f>SUM(H10:H19)</f>
        <v>350000</v>
      </c>
      <c r="I20" s="414"/>
      <c r="J20" s="254"/>
      <c r="K20" s="254"/>
      <c r="L20" s="255"/>
      <c r="M20" s="256"/>
    </row>
    <row r="21" spans="2:13" ht="6.75" customHeight="1" x14ac:dyDescent="0.25">
      <c r="L21" s="71"/>
    </row>
    <row r="22" spans="2:13" x14ac:dyDescent="0.25">
      <c r="L22" s="71"/>
    </row>
    <row r="23" spans="2:13" x14ac:dyDescent="0.25">
      <c r="L23" s="71"/>
    </row>
  </sheetData>
  <sheetProtection algorithmName="SHA-512" hashValue="Axb9zf4/M6CLnbKI2nrfSO2IiXXMHstatqglGkjzvPMpGDVgw0SAV6sjaKVDbCVZG+BQvLyRKPyiOZf8VH+5jw==" saltValue="PaiH1uI7RBlszUi20eqrcw==" spinCount="100000" sheet="1" objects="1" scenarios="1"/>
  <mergeCells count="3">
    <mergeCell ref="F3:H3"/>
    <mergeCell ref="F6:H6"/>
    <mergeCell ref="B7:H7"/>
  </mergeCells>
  <conditionalFormatting sqref="H15:I15">
    <cfRule type="cellIs" dxfId="43" priority="8" stopIfTrue="1" operator="lessThan">
      <formula>0.005</formula>
    </cfRule>
  </conditionalFormatting>
  <pageMargins left="0.43307086614173229" right="0.31496062992125984" top="0.43307086614173229" bottom="0.62992125984251968" header="0.35433070866141736" footer="0.31496062992125984"/>
  <pageSetup paperSize="9" scale="90"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2" id="{5EE9415B-4EDF-48CF-BAB8-AB1CEA15D0B5}">
            <xm:f>AND(Home!$C$8=FALSE,$D15&lt;&gt;"P C Sum",$D15&lt;&gt;"PC Sum",$D15&lt;&gt;"P Sum",$D15&lt;&gt;"Prov Sum")</xm:f>
            <x14:dxf>
              <font>
                <color theme="0"/>
              </font>
            </x14:dxf>
          </x14:cfRule>
          <xm:sqref>F15:H15</xm:sqref>
        </x14:conditionalFormatting>
        <x14:conditionalFormatting xmlns:xm="http://schemas.microsoft.com/office/excel/2006/main">
          <x14:cfRule type="expression" priority="6" id="{5420AB95-EAD6-44C8-A6FE-133F18C3C7C3}">
            <xm:f>AND(Home!$C$8=FALSE,$D10&lt;&gt;"P C Sum",$D10&lt;&gt;"PC Sum",$D10&lt;&gt;"P Sum",$D10&lt;&gt;"Prov Sum")</xm:f>
            <x14:dxf>
              <font>
                <color theme="0"/>
              </font>
            </x14:dxf>
          </x14:cfRule>
          <xm:sqref>G10:H14</xm:sqref>
        </x14:conditionalFormatting>
        <x14:conditionalFormatting xmlns:xm="http://schemas.microsoft.com/office/excel/2006/main">
          <x14:cfRule type="expression" priority="1" id="{1656A764-AF12-449A-A8FB-45626DB48ABB}">
            <xm:f>AND(Home!$C$8=FALSE,$D16&lt;&gt;"P C Sum",$D16&lt;&gt;"PC Sum",$D16&lt;&gt;"P Sum",$D16&lt;&gt;"Prov Sum")</xm:f>
            <x14:dxf>
              <font>
                <color theme="0"/>
              </font>
            </x14:dxf>
          </x14:cfRule>
          <xm:sqref>G16:H20</xm:sqref>
        </x14:conditionalFormatting>
        <x14:conditionalFormatting xmlns:xm="http://schemas.microsoft.com/office/excel/2006/main">
          <x14:cfRule type="expression" priority="4" id="{3A5F88F4-07A6-4798-BCDD-C469A6336957}">
            <xm:f>AND(Home!$C$8=FALSE,#REF!&lt;&gt;"P C Sum",#REF!&lt;&gt;"PC Sum",#REF!&lt;&gt;"P Sum",#REF!&lt;&gt;"Prov Sum")</xm:f>
            <x14:dxf>
              <font>
                <color theme="0"/>
              </font>
            </x14:dxf>
          </x14:cfRule>
          <xm:sqref>K20:M20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B407-84ED-49BE-9D0E-539112A5204A}">
  <sheetPr codeName="Sheet15">
    <tabColor theme="9" tint="0.59999389629810485"/>
  </sheetPr>
  <dimension ref="A1:R46"/>
  <sheetViews>
    <sheetView showGridLines="0" view="pageBreakPreview" zoomScale="85" zoomScaleNormal="145" zoomScaleSheetLayoutView="85" zoomScalePageLayoutView="125" workbookViewId="0">
      <pane xSplit="5" ySplit="2" topLeftCell="F3" activePane="bottomRight" state="frozen"/>
      <selection activeCell="F47" sqref="F47"/>
      <selection pane="topRight" activeCell="F47" sqref="F47"/>
      <selection pane="bottomLeft" activeCell="F47" sqref="F47"/>
      <selection pane="bottomRight" activeCell="K8" sqref="K8"/>
    </sheetView>
  </sheetViews>
  <sheetFormatPr defaultColWidth="11.08984375" defaultRowHeight="11.5" x14ac:dyDescent="0.25"/>
  <cols>
    <col min="1" max="1" width="1.1796875" style="306" customWidth="1"/>
    <col min="2" max="2" width="11.453125" style="311" customWidth="1"/>
    <col min="3" max="3" width="41.1796875" style="306" customWidth="1"/>
    <col min="4" max="4" width="9" style="312" customWidth="1"/>
    <col min="5" max="5" width="4.453125" style="312" customWidth="1"/>
    <col min="6" max="6" width="11.6328125" style="372" customWidth="1"/>
    <col min="7" max="7" width="12.1796875" style="373" customWidth="1"/>
    <col min="8" max="8" width="18" style="373" customWidth="1"/>
    <col min="9" max="9" width="1.1796875" style="306" customWidth="1"/>
    <col min="10" max="10" width="13.54296875" style="57" customWidth="1"/>
    <col min="11" max="11" width="14.1796875" style="57" customWidth="1"/>
    <col min="12" max="12" width="14.1796875" style="71" customWidth="1"/>
    <col min="13" max="13" width="14.1796875" style="23" customWidth="1"/>
    <col min="14" max="16384" width="11.08984375" style="306"/>
  </cols>
  <sheetData>
    <row r="1" spans="1:13" x14ac:dyDescent="0.25">
      <c r="A1" s="53"/>
      <c r="B1" s="54"/>
      <c r="C1" s="24" t="s">
        <v>61</v>
      </c>
      <c r="D1" s="25"/>
      <c r="E1" s="25"/>
      <c r="F1" s="25"/>
      <c r="G1" s="23"/>
      <c r="H1" s="55">
        <f>MAX(H2:H80)</f>
        <v>500000</v>
      </c>
      <c r="I1" s="56"/>
    </row>
    <row r="2" spans="1:13" x14ac:dyDescent="0.25">
      <c r="B2" s="145"/>
      <c r="C2" s="61"/>
      <c r="D2" s="61"/>
      <c r="E2" s="61"/>
      <c r="F2" s="61"/>
      <c r="G2" s="61"/>
      <c r="H2" s="61"/>
      <c r="J2" s="159"/>
      <c r="K2" s="159"/>
      <c r="L2" s="307"/>
      <c r="M2" s="308"/>
    </row>
    <row r="3" spans="1:13" s="23" customFormat="1" x14ac:dyDescent="0.25">
      <c r="B3" s="309" t="str">
        <f>_Client1</f>
        <v>Province of KwaZulu-Natal</v>
      </c>
      <c r="C3" s="24"/>
      <c r="D3" s="25"/>
      <c r="F3" s="753" t="str">
        <f>"Contract No. "&amp;_ContractNo</f>
        <v>Contract No. ZNB02642/00000/00/HOD/INF/25/T</v>
      </c>
      <c r="G3" s="753"/>
      <c r="H3" s="753"/>
      <c r="I3" s="26"/>
      <c r="J3" s="57"/>
      <c r="K3" s="57"/>
      <c r="L3" s="71"/>
    </row>
    <row r="4" spans="1:13" s="23" customFormat="1" x14ac:dyDescent="0.25">
      <c r="B4" s="310" t="str">
        <f>_Client2</f>
        <v>Department of Transport</v>
      </c>
      <c r="C4" s="24"/>
      <c r="D4" s="25"/>
      <c r="E4" s="25"/>
      <c r="F4" s="25"/>
      <c r="G4" s="25"/>
      <c r="H4" s="25"/>
      <c r="I4" s="26"/>
      <c r="J4" s="57"/>
      <c r="K4" s="57"/>
      <c r="L4" s="71"/>
    </row>
    <row r="5" spans="1:13" x14ac:dyDescent="0.25">
      <c r="F5" s="312"/>
      <c r="G5" s="312"/>
      <c r="H5" s="312"/>
    </row>
    <row r="6" spans="1:13" s="314" customFormat="1" x14ac:dyDescent="0.25">
      <c r="B6" s="65" t="str">
        <f>'1.2'!B6</f>
        <v>SCHEDULE A: ROADWORKS</v>
      </c>
      <c r="C6" s="315"/>
      <c r="D6" s="316"/>
      <c r="E6" s="316"/>
      <c r="F6" s="751" t="str">
        <f>"SECTION "&amp;B11</f>
        <v>SECTION PCS1.2.11</v>
      </c>
      <c r="G6" s="751"/>
      <c r="H6" s="752"/>
      <c r="I6" s="317"/>
      <c r="J6" s="160"/>
      <c r="K6" s="160"/>
      <c r="L6" s="318"/>
      <c r="M6" s="35"/>
    </row>
    <row r="7" spans="1:13" s="314" customFormat="1" ht="24"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17"/>
      <c r="J7" s="161"/>
      <c r="K7" s="161"/>
      <c r="L7" s="319"/>
      <c r="M7" s="35"/>
    </row>
    <row r="8" spans="1:13" ht="8.15" customHeight="1" x14ac:dyDescent="0.25">
      <c r="B8" s="27"/>
      <c r="C8" s="320"/>
      <c r="D8" s="320"/>
      <c r="E8" s="320"/>
      <c r="F8" s="320"/>
      <c r="G8" s="320"/>
      <c r="H8" s="322"/>
      <c r="I8" s="323"/>
      <c r="J8" s="161"/>
      <c r="K8" s="161"/>
      <c r="L8" s="319"/>
      <c r="M8" s="35"/>
    </row>
    <row r="9" spans="1:13" s="312" customFormat="1" ht="20.149999999999999" customHeight="1" x14ac:dyDescent="0.25">
      <c r="B9" s="5" t="s">
        <v>27</v>
      </c>
      <c r="C9" s="5" t="s">
        <v>1</v>
      </c>
      <c r="D9" s="5" t="s">
        <v>2</v>
      </c>
      <c r="E9" s="5" t="s">
        <v>30</v>
      </c>
      <c r="F9" s="324" t="s">
        <v>3</v>
      </c>
      <c r="G9" s="325" t="s">
        <v>4</v>
      </c>
      <c r="H9" s="325" t="s">
        <v>5</v>
      </c>
      <c r="J9" s="159"/>
      <c r="K9" s="159"/>
      <c r="L9" s="307"/>
      <c r="M9" s="61"/>
    </row>
    <row r="10" spans="1:13" ht="12" customHeight="1" x14ac:dyDescent="0.25">
      <c r="B10" s="326"/>
      <c r="C10" s="1"/>
      <c r="D10" s="1"/>
      <c r="E10" s="1"/>
      <c r="F10" s="327"/>
      <c r="G10" s="12"/>
      <c r="H10" s="328" t="str">
        <f t="shared" ref="H10:H11" si="0">IF(D10="","",F10*G10)</f>
        <v/>
      </c>
      <c r="J10" s="217"/>
      <c r="K10" s="218"/>
      <c r="L10" s="219"/>
      <c r="M10" s="329"/>
    </row>
    <row r="11" spans="1:13" ht="23" x14ac:dyDescent="0.25">
      <c r="B11" s="623" t="s">
        <v>723</v>
      </c>
      <c r="C11" s="331" t="s">
        <v>724</v>
      </c>
      <c r="D11" s="1"/>
      <c r="E11" s="1"/>
      <c r="F11" s="332"/>
      <c r="G11" s="333"/>
      <c r="H11" s="283" t="str">
        <f t="shared" si="0"/>
        <v/>
      </c>
      <c r="I11" s="311"/>
      <c r="J11" s="217"/>
      <c r="K11" s="218"/>
      <c r="L11" s="219"/>
      <c r="M11" s="329"/>
    </row>
    <row r="12" spans="1:13" ht="12" customHeight="1" x14ac:dyDescent="0.25">
      <c r="B12" s="330"/>
      <c r="C12" s="331"/>
      <c r="D12" s="1"/>
      <c r="E12" s="1"/>
      <c r="F12" s="332"/>
      <c r="G12" s="333"/>
      <c r="H12" s="283"/>
      <c r="I12" s="311"/>
      <c r="J12" s="217"/>
      <c r="K12" s="218"/>
      <c r="L12" s="219"/>
      <c r="M12" s="329"/>
    </row>
    <row r="13" spans="1:13" ht="12" customHeight="1" x14ac:dyDescent="0.25">
      <c r="B13" s="334" t="s">
        <v>692</v>
      </c>
      <c r="C13" s="760" t="s">
        <v>693</v>
      </c>
      <c r="D13" s="3"/>
      <c r="E13" s="1"/>
      <c r="F13" s="332"/>
      <c r="G13" s="333"/>
      <c r="H13" s="283"/>
      <c r="I13" s="311"/>
      <c r="J13" s="217"/>
      <c r="K13" s="218"/>
      <c r="L13" s="219"/>
      <c r="M13" s="329"/>
    </row>
    <row r="14" spans="1:13" ht="13.5" customHeight="1" x14ac:dyDescent="0.25">
      <c r="B14" s="330"/>
      <c r="C14" s="760"/>
      <c r="D14" s="1"/>
      <c r="E14" s="1"/>
      <c r="F14" s="332"/>
      <c r="G14" s="333"/>
      <c r="H14" s="283"/>
      <c r="I14" s="311"/>
      <c r="J14" s="217"/>
      <c r="K14" s="218"/>
      <c r="L14" s="219"/>
      <c r="M14" s="329"/>
    </row>
    <row r="15" spans="1:13" ht="12" customHeight="1" x14ac:dyDescent="0.25">
      <c r="B15" s="330"/>
      <c r="C15" s="335"/>
      <c r="D15" s="1"/>
      <c r="E15" s="1"/>
      <c r="F15" s="332"/>
      <c r="G15" s="333"/>
      <c r="H15" s="283"/>
      <c r="I15" s="311"/>
      <c r="J15" s="217"/>
      <c r="K15" s="218"/>
      <c r="L15" s="219"/>
      <c r="M15" s="329"/>
    </row>
    <row r="16" spans="1:13" ht="14.25" customHeight="1" x14ac:dyDescent="0.25">
      <c r="B16" s="624" t="s">
        <v>695</v>
      </c>
      <c r="C16" s="340" t="s">
        <v>696</v>
      </c>
      <c r="D16" s="3" t="s">
        <v>694</v>
      </c>
      <c r="E16" s="3"/>
      <c r="F16" s="169">
        <v>1</v>
      </c>
      <c r="G16" s="337">
        <v>100000</v>
      </c>
      <c r="H16" s="337">
        <f>IF(D16="","",F16*G16)</f>
        <v>100000</v>
      </c>
      <c r="I16" s="311"/>
      <c r="J16" s="217"/>
      <c r="K16" s="218"/>
      <c r="L16" s="219"/>
      <c r="M16" s="329"/>
    </row>
    <row r="17" spans="2:18" ht="14.25" customHeight="1" x14ac:dyDescent="0.25">
      <c r="B17" s="334"/>
      <c r="C17" s="340"/>
      <c r="D17" s="3"/>
      <c r="E17" s="3"/>
      <c r="F17" s="336"/>
      <c r="G17" s="338"/>
      <c r="H17" s="339"/>
      <c r="I17" s="311"/>
      <c r="J17" s="217"/>
      <c r="K17" s="218"/>
      <c r="L17" s="219"/>
      <c r="M17" s="329"/>
    </row>
    <row r="18" spans="2:18" ht="23" x14ac:dyDescent="0.25">
      <c r="B18" s="625" t="s">
        <v>697</v>
      </c>
      <c r="C18" s="12" t="s">
        <v>717</v>
      </c>
      <c r="D18" s="341" t="s">
        <v>6</v>
      </c>
      <c r="E18" s="3"/>
      <c r="F18" s="337">
        <f>H16</f>
        <v>100000</v>
      </c>
      <c r="G18" s="168">
        <v>0</v>
      </c>
      <c r="H18" s="237">
        <f t="shared" ref="H18" si="1">IF(D18="","",F18*G18)</f>
        <v>0</v>
      </c>
      <c r="I18" s="311"/>
      <c r="J18" s="217"/>
      <c r="K18" s="218"/>
      <c r="L18" s="219"/>
      <c r="M18" s="329"/>
    </row>
    <row r="19" spans="2:18" x14ac:dyDescent="0.25">
      <c r="B19" s="330"/>
      <c r="C19" s="12"/>
      <c r="D19" s="3"/>
      <c r="E19" s="3"/>
      <c r="F19" s="336"/>
      <c r="G19" s="338"/>
      <c r="H19" s="339"/>
      <c r="I19" s="311"/>
      <c r="J19" s="217"/>
      <c r="K19" s="218"/>
      <c r="L19" s="219"/>
      <c r="M19" s="329"/>
    </row>
    <row r="20" spans="2:18" ht="12" customHeight="1" x14ac:dyDescent="0.25">
      <c r="B20" s="624" t="s">
        <v>698</v>
      </c>
      <c r="C20" s="12" t="s">
        <v>700</v>
      </c>
      <c r="D20" s="3" t="s">
        <v>694</v>
      </c>
      <c r="E20" s="3"/>
      <c r="F20" s="169">
        <v>1</v>
      </c>
      <c r="G20" s="337">
        <v>100000</v>
      </c>
      <c r="H20" s="337">
        <f>IF(D20="","",F20*G20)</f>
        <v>100000</v>
      </c>
      <c r="I20" s="311"/>
      <c r="J20" s="278"/>
      <c r="K20" s="279"/>
      <c r="L20" s="280"/>
      <c r="M20" s="329"/>
    </row>
    <row r="21" spans="2:18" ht="12" customHeight="1" x14ac:dyDescent="0.25">
      <c r="B21" s="334"/>
      <c r="C21" s="12"/>
      <c r="D21" s="3"/>
      <c r="E21" s="3"/>
      <c r="F21" s="336"/>
      <c r="G21" s="338"/>
      <c r="H21" s="339"/>
      <c r="I21" s="311"/>
      <c r="J21" s="278"/>
      <c r="K21" s="279"/>
      <c r="L21" s="280"/>
      <c r="M21" s="329"/>
    </row>
    <row r="22" spans="2:18" ht="22.25" customHeight="1" x14ac:dyDescent="0.25">
      <c r="B22" s="625" t="s">
        <v>699</v>
      </c>
      <c r="C22" s="618" t="s">
        <v>716</v>
      </c>
      <c r="D22" s="341" t="s">
        <v>6</v>
      </c>
      <c r="E22" s="3"/>
      <c r="F22" s="337">
        <f>H20</f>
        <v>100000</v>
      </c>
      <c r="G22" s="168">
        <v>0</v>
      </c>
      <c r="H22" s="237">
        <f t="shared" ref="H22" si="2">IF(D22="","",F22*G22)</f>
        <v>0</v>
      </c>
      <c r="I22" s="311"/>
      <c r="J22" s="278"/>
      <c r="K22" s="279"/>
      <c r="L22" s="280"/>
      <c r="M22" s="329"/>
    </row>
    <row r="23" spans="2:18" ht="12" customHeight="1" x14ac:dyDescent="0.25">
      <c r="B23" s="334"/>
      <c r="C23" s="12"/>
      <c r="D23" s="3"/>
      <c r="E23" s="3"/>
      <c r="F23" s="336"/>
      <c r="G23" s="338"/>
      <c r="H23" s="339"/>
      <c r="I23" s="311"/>
      <c r="J23" s="278"/>
      <c r="K23" s="279"/>
      <c r="L23" s="280"/>
      <c r="M23" s="329"/>
    </row>
    <row r="24" spans="2:18" ht="12" customHeight="1" x14ac:dyDescent="0.25">
      <c r="B24" s="624" t="s">
        <v>701</v>
      </c>
      <c r="C24" s="12" t="s">
        <v>711</v>
      </c>
      <c r="D24" s="3" t="s">
        <v>694</v>
      </c>
      <c r="E24" s="3"/>
      <c r="F24" s="169">
        <v>1</v>
      </c>
      <c r="G24" s="337">
        <v>100000</v>
      </c>
      <c r="H24" s="337">
        <f>IF(D24="","",F24*G24)</f>
        <v>100000</v>
      </c>
      <c r="I24" s="311"/>
      <c r="J24" s="217"/>
      <c r="K24" s="218"/>
      <c r="L24" s="219"/>
      <c r="M24" s="329"/>
    </row>
    <row r="25" spans="2:18" ht="12" customHeight="1" x14ac:dyDescent="0.25">
      <c r="B25" s="334"/>
      <c r="C25" s="12"/>
      <c r="D25" s="3"/>
      <c r="E25" s="3"/>
      <c r="F25" s="336"/>
      <c r="G25" s="338"/>
      <c r="H25" s="339"/>
      <c r="I25" s="311"/>
      <c r="J25" s="278"/>
      <c r="K25" s="279"/>
      <c r="L25" s="280"/>
      <c r="M25" s="329"/>
      <c r="O25" s="343"/>
      <c r="P25" s="343"/>
      <c r="Q25" s="343"/>
      <c r="R25" s="343"/>
    </row>
    <row r="26" spans="2:18" ht="23" x14ac:dyDescent="0.25">
      <c r="B26" s="625" t="s">
        <v>702</v>
      </c>
      <c r="C26" s="340" t="s">
        <v>720</v>
      </c>
      <c r="D26" s="341" t="s">
        <v>6</v>
      </c>
      <c r="E26" s="3"/>
      <c r="F26" s="337">
        <f>H24</f>
        <v>100000</v>
      </c>
      <c r="G26" s="168">
        <v>0</v>
      </c>
      <c r="H26" s="237">
        <f t="shared" ref="H26" si="3">IF(D26="","",F26*G26)</f>
        <v>0</v>
      </c>
      <c r="I26" s="311"/>
      <c r="J26" s="217"/>
      <c r="K26" s="218"/>
      <c r="L26" s="219"/>
      <c r="M26" s="329"/>
      <c r="O26" s="343"/>
      <c r="P26" s="343"/>
      <c r="Q26" s="343"/>
      <c r="R26" s="343"/>
    </row>
    <row r="27" spans="2:18" ht="12" customHeight="1" x14ac:dyDescent="0.25">
      <c r="B27" s="342"/>
      <c r="C27" s="340"/>
      <c r="D27" s="3"/>
      <c r="E27" s="3"/>
      <c r="F27" s="344"/>
      <c r="G27" s="626"/>
      <c r="H27" s="627"/>
      <c r="I27" s="346"/>
      <c r="J27" s="218"/>
      <c r="K27" s="218"/>
      <c r="L27" s="219"/>
      <c r="M27" s="329"/>
      <c r="O27" s="343"/>
      <c r="P27" s="343"/>
      <c r="Q27" s="343"/>
      <c r="R27" s="343"/>
    </row>
    <row r="28" spans="2:18" ht="12" customHeight="1" x14ac:dyDescent="0.25">
      <c r="B28" s="624" t="s">
        <v>703</v>
      </c>
      <c r="C28" s="340" t="s">
        <v>712</v>
      </c>
      <c r="D28" s="3" t="s">
        <v>694</v>
      </c>
      <c r="E28" s="3"/>
      <c r="F28" s="169">
        <v>1</v>
      </c>
      <c r="G28" s="337">
        <v>50000</v>
      </c>
      <c r="H28" s="337">
        <f>IF(D28="","",F28*G28)</f>
        <v>50000</v>
      </c>
      <c r="I28" s="311"/>
      <c r="J28" s="217"/>
      <c r="K28" s="218"/>
      <c r="L28" s="219"/>
      <c r="M28" s="329"/>
      <c r="O28" s="343"/>
      <c r="P28" s="343"/>
      <c r="Q28" s="343"/>
      <c r="R28" s="343"/>
    </row>
    <row r="29" spans="2:18" ht="12" customHeight="1" x14ac:dyDescent="0.25">
      <c r="B29" s="334"/>
      <c r="C29" s="340"/>
      <c r="D29" s="3"/>
      <c r="E29" s="3"/>
      <c r="F29" s="336"/>
      <c r="G29" s="338"/>
      <c r="H29" s="339"/>
      <c r="I29" s="18"/>
      <c r="J29" s="218"/>
      <c r="K29" s="218"/>
      <c r="L29" s="219"/>
      <c r="M29" s="329"/>
      <c r="O29" s="343"/>
      <c r="P29" s="343"/>
      <c r="Q29" s="343"/>
      <c r="R29" s="343"/>
    </row>
    <row r="30" spans="2:18" ht="23" x14ac:dyDescent="0.25">
      <c r="B30" s="625" t="s">
        <v>704</v>
      </c>
      <c r="C30" s="340" t="s">
        <v>719</v>
      </c>
      <c r="D30" s="341" t="s">
        <v>6</v>
      </c>
      <c r="E30" s="3"/>
      <c r="F30" s="337">
        <f>H28</f>
        <v>50000</v>
      </c>
      <c r="G30" s="168">
        <v>0</v>
      </c>
      <c r="H30" s="237">
        <f t="shared" ref="H30" si="4">IF(D30="","",F30*G30)</f>
        <v>0</v>
      </c>
      <c r="I30" s="311"/>
      <c r="J30" s="217"/>
      <c r="K30" s="218"/>
      <c r="L30" s="219"/>
      <c r="M30" s="329"/>
      <c r="O30" s="343"/>
      <c r="P30" s="343"/>
      <c r="Q30" s="343"/>
      <c r="R30" s="343"/>
    </row>
    <row r="31" spans="2:18" s="314" customFormat="1" ht="12.5" x14ac:dyDescent="0.25">
      <c r="B31" s="9"/>
      <c r="C31" s="2"/>
      <c r="D31" s="3"/>
      <c r="E31" s="3"/>
      <c r="F31" s="347"/>
      <c r="G31" s="353"/>
      <c r="H31" s="354"/>
      <c r="I31" s="349"/>
      <c r="J31" s="278"/>
      <c r="K31" s="279"/>
      <c r="L31" s="280"/>
      <c r="M31" s="350"/>
      <c r="O31" s="351"/>
      <c r="P31" s="351"/>
      <c r="Q31" s="351"/>
      <c r="R31" s="351"/>
    </row>
    <row r="32" spans="2:18" ht="12" customHeight="1" x14ac:dyDescent="0.25">
      <c r="B32" s="624" t="s">
        <v>705</v>
      </c>
      <c r="C32" s="352" t="s">
        <v>713</v>
      </c>
      <c r="D32" s="3" t="s">
        <v>694</v>
      </c>
      <c r="E32" s="3"/>
      <c r="F32" s="169">
        <v>1</v>
      </c>
      <c r="G32" s="337">
        <v>50000</v>
      </c>
      <c r="H32" s="337">
        <f>IF(D32="","",F32*G32)</f>
        <v>50000</v>
      </c>
      <c r="I32" s="311"/>
      <c r="J32" s="217"/>
      <c r="K32" s="218"/>
      <c r="L32" s="219"/>
      <c r="M32" s="329"/>
      <c r="O32" s="343"/>
      <c r="P32" s="343"/>
      <c r="Q32" s="343"/>
      <c r="R32" s="343"/>
    </row>
    <row r="33" spans="2:18" s="314" customFormat="1" ht="12.5" x14ac:dyDescent="0.25">
      <c r="B33" s="334"/>
      <c r="C33" s="2"/>
      <c r="D33" s="3"/>
      <c r="E33" s="3"/>
      <c r="F33" s="336"/>
      <c r="G33" s="338"/>
      <c r="H33" s="339"/>
      <c r="I33" s="349"/>
      <c r="J33" s="278"/>
      <c r="K33" s="279"/>
      <c r="L33" s="280"/>
      <c r="M33" s="350"/>
      <c r="O33" s="351"/>
      <c r="P33" s="351"/>
      <c r="Q33" s="351"/>
      <c r="R33" s="351"/>
    </row>
    <row r="34" spans="2:18" ht="23" x14ac:dyDescent="0.25">
      <c r="B34" s="625" t="s">
        <v>706</v>
      </c>
      <c r="C34" s="340" t="s">
        <v>718</v>
      </c>
      <c r="D34" s="341" t="s">
        <v>6</v>
      </c>
      <c r="E34" s="3"/>
      <c r="F34" s="337">
        <f>H32</f>
        <v>50000</v>
      </c>
      <c r="G34" s="168">
        <v>0</v>
      </c>
      <c r="H34" s="237">
        <f t="shared" ref="H34" si="5">IF(D34="","",F34*G34)</f>
        <v>0</v>
      </c>
      <c r="I34" s="311"/>
      <c r="J34" s="217"/>
      <c r="K34" s="218"/>
      <c r="L34" s="219"/>
      <c r="M34" s="329"/>
      <c r="O34" s="343"/>
      <c r="P34" s="343"/>
      <c r="Q34" s="343"/>
      <c r="R34" s="343"/>
    </row>
    <row r="35" spans="2:18" ht="12.5" x14ac:dyDescent="0.25">
      <c r="B35" s="9"/>
      <c r="C35" s="2"/>
      <c r="D35" s="3"/>
      <c r="E35" s="3"/>
      <c r="F35" s="233"/>
      <c r="G35" s="338"/>
      <c r="H35" s="233"/>
      <c r="I35" s="311"/>
      <c r="J35" s="278"/>
      <c r="K35" s="279"/>
      <c r="L35" s="280"/>
      <c r="M35" s="329"/>
      <c r="O35" s="343"/>
      <c r="P35" s="343"/>
      <c r="Q35" s="343"/>
      <c r="R35" s="343"/>
    </row>
    <row r="36" spans="2:18" ht="12" customHeight="1" x14ac:dyDescent="0.25">
      <c r="B36" s="624" t="s">
        <v>707</v>
      </c>
      <c r="C36" s="352" t="s">
        <v>714</v>
      </c>
      <c r="D36" s="3" t="s">
        <v>694</v>
      </c>
      <c r="E36" s="3"/>
      <c r="F36" s="169">
        <v>1</v>
      </c>
      <c r="G36" s="337">
        <v>50000</v>
      </c>
      <c r="H36" s="337">
        <f>IF(D36="","",F36*G36)</f>
        <v>50000</v>
      </c>
      <c r="I36" s="311"/>
      <c r="J36" s="278"/>
      <c r="K36" s="279"/>
      <c r="L36" s="280"/>
      <c r="M36" s="329"/>
      <c r="O36" s="343"/>
      <c r="P36" s="343"/>
      <c r="Q36" s="343"/>
      <c r="R36" s="343"/>
    </row>
    <row r="37" spans="2:18" ht="12" customHeight="1" x14ac:dyDescent="0.25">
      <c r="B37" s="334"/>
      <c r="C37" s="356"/>
      <c r="D37" s="3"/>
      <c r="E37" s="3"/>
      <c r="F37" s="336"/>
      <c r="G37" s="338"/>
      <c r="H37" s="339"/>
      <c r="I37" s="311"/>
      <c r="J37" s="278"/>
      <c r="K37" s="279"/>
      <c r="L37" s="280"/>
      <c r="M37" s="329"/>
      <c r="O37" s="343"/>
      <c r="P37" s="343"/>
      <c r="Q37" s="343"/>
      <c r="R37" s="343"/>
    </row>
    <row r="38" spans="2:18" ht="23" x14ac:dyDescent="0.25">
      <c r="B38" s="625" t="s">
        <v>708</v>
      </c>
      <c r="C38" s="340" t="s">
        <v>721</v>
      </c>
      <c r="D38" s="341" t="s">
        <v>6</v>
      </c>
      <c r="E38" s="3"/>
      <c r="F38" s="337">
        <f>H36</f>
        <v>50000</v>
      </c>
      <c r="G38" s="168">
        <v>0</v>
      </c>
      <c r="H38" s="237">
        <f t="shared" ref="H38" si="6">IF(D38="","",F38*G38)</f>
        <v>0</v>
      </c>
      <c r="I38" s="311"/>
      <c r="J38" s="217"/>
      <c r="K38" s="218"/>
      <c r="L38" s="219"/>
      <c r="M38" s="329"/>
      <c r="O38" s="343"/>
      <c r="P38" s="343"/>
      <c r="Q38" s="343"/>
      <c r="R38" s="343"/>
    </row>
    <row r="39" spans="2:18" ht="12" customHeight="1" x14ac:dyDescent="0.25">
      <c r="B39" s="342"/>
      <c r="C39" s="352"/>
      <c r="D39" s="3"/>
      <c r="E39" s="3"/>
      <c r="F39" s="336"/>
      <c r="G39" s="338"/>
      <c r="H39" s="233"/>
      <c r="I39" s="311"/>
      <c r="J39" s="217"/>
      <c r="K39" s="218"/>
      <c r="L39" s="219"/>
      <c r="M39" s="329"/>
      <c r="O39" s="343"/>
      <c r="P39" s="343"/>
      <c r="Q39" s="343"/>
      <c r="R39" s="343"/>
    </row>
    <row r="40" spans="2:18" ht="12" customHeight="1" x14ac:dyDescent="0.25">
      <c r="B40" s="624" t="s">
        <v>709</v>
      </c>
      <c r="C40" s="352" t="s">
        <v>715</v>
      </c>
      <c r="D40" s="3" t="s">
        <v>694</v>
      </c>
      <c r="E40" s="3"/>
      <c r="F40" s="169">
        <v>1</v>
      </c>
      <c r="G40" s="337">
        <v>50000</v>
      </c>
      <c r="H40" s="337">
        <f>IF(D40="","",F40*G40)</f>
        <v>50000</v>
      </c>
      <c r="I40" s="311"/>
      <c r="J40" s="217"/>
      <c r="K40" s="218"/>
      <c r="L40" s="219"/>
      <c r="M40" s="329"/>
      <c r="O40" s="343"/>
      <c r="P40" s="343"/>
      <c r="Q40" s="343"/>
      <c r="R40" s="343"/>
    </row>
    <row r="41" spans="2:18" ht="12" customHeight="1" x14ac:dyDescent="0.25">
      <c r="B41" s="334"/>
      <c r="C41" s="352"/>
      <c r="D41" s="3"/>
      <c r="E41" s="3"/>
      <c r="F41" s="336"/>
      <c r="G41" s="338"/>
      <c r="H41" s="339"/>
      <c r="I41" s="311"/>
      <c r="J41" s="217"/>
      <c r="K41" s="218"/>
      <c r="L41" s="219"/>
      <c r="M41" s="329"/>
      <c r="O41" s="343"/>
      <c r="P41" s="343"/>
      <c r="Q41" s="343"/>
      <c r="R41" s="343"/>
    </row>
    <row r="42" spans="2:18" ht="23" x14ac:dyDescent="0.25">
      <c r="B42" s="625" t="s">
        <v>710</v>
      </c>
      <c r="C42" s="340" t="s">
        <v>722</v>
      </c>
      <c r="D42" s="341" t="s">
        <v>6</v>
      </c>
      <c r="E42" s="3"/>
      <c r="F42" s="337">
        <f>H40</f>
        <v>50000</v>
      </c>
      <c r="G42" s="168">
        <v>0</v>
      </c>
      <c r="H42" s="237">
        <f t="shared" ref="H42" si="7">IF(D42="","",F42*G42)</f>
        <v>0</v>
      </c>
      <c r="I42" s="311"/>
      <c r="J42" s="217"/>
      <c r="K42" s="218"/>
      <c r="L42" s="219"/>
      <c r="M42" s="329"/>
      <c r="O42" s="343"/>
      <c r="P42" s="343"/>
      <c r="Q42" s="343"/>
      <c r="R42" s="343"/>
    </row>
    <row r="43" spans="2:18" ht="12" customHeight="1" x14ac:dyDescent="0.25">
      <c r="B43" s="7"/>
      <c r="C43" s="352"/>
      <c r="D43" s="3"/>
      <c r="E43" s="3"/>
      <c r="F43" s="336"/>
      <c r="G43" s="357"/>
      <c r="H43" s="233"/>
      <c r="J43" s="217"/>
      <c r="K43" s="218"/>
      <c r="L43" s="219"/>
      <c r="M43" s="329"/>
    </row>
    <row r="44" spans="2:18" s="10" customFormat="1" ht="24.75" customHeight="1" x14ac:dyDescent="0.25">
      <c r="B44" s="362" t="str">
        <f>B11</f>
        <v>PCS1.2.11</v>
      </c>
      <c r="C44" s="28" t="str">
        <f>"TOTAL CARRIED FORWARD"&amp;IF(H44=H$1," TO SUMMARY","")</f>
        <v>TOTAL CARRIED FORWARD TO SUMMARY</v>
      </c>
      <c r="D44" s="363"/>
      <c r="E44" s="363"/>
      <c r="F44" s="364"/>
      <c r="G44" s="365"/>
      <c r="H44" s="253">
        <f>SUM(H10:H43)</f>
        <v>500000</v>
      </c>
      <c r="J44" s="254"/>
      <c r="K44" s="254"/>
      <c r="L44" s="255"/>
      <c r="M44" s="366"/>
    </row>
    <row r="45" spans="2:18" s="313" customFormat="1" ht="6" customHeight="1" x14ac:dyDescent="0.25">
      <c r="B45" s="367"/>
      <c r="C45" s="368"/>
      <c r="D45" s="369"/>
      <c r="E45" s="369"/>
      <c r="F45" s="370"/>
      <c r="G45" s="371"/>
      <c r="H45" s="262"/>
      <c r="J45" s="57"/>
      <c r="K45" s="57"/>
      <c r="L45" s="71"/>
      <c r="M45" s="23"/>
    </row>
    <row r="46" spans="2:18" ht="7.5" customHeight="1" x14ac:dyDescent="0.25"/>
  </sheetData>
  <sheetProtection algorithmName="SHA-512" hashValue="TnnCvXjfyqjWqcImjS/fp02gLJb21s8B6oRTM0aDreOXvDSoapATY2vNuhtYR/X4ZYzOjJ5zBcmN/ZgmIsUEGg==" saltValue="7BtLjrKbJnlue60X7f4ELg==" spinCount="100000" sheet="1" objects="1" scenarios="1"/>
  <mergeCells count="4">
    <mergeCell ref="F3:H3"/>
    <mergeCell ref="F6:H6"/>
    <mergeCell ref="B7:H7"/>
    <mergeCell ref="C13:C14"/>
  </mergeCells>
  <pageMargins left="0.43307086614173229" right="0.31496062992125984" top="0.43307086614173229" bottom="0.62992125984251968" header="0.35433070866141736" footer="0.31496062992125984"/>
  <pageSetup paperSize="9" scale="76" firstPageNumber="196" orientation="portrait" useFirstPageNumber="1"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4" id="{77A178F0-406C-4333-91F9-177EC55C2380}">
            <xm:f>AND(Home!$C$8=FALSE,$D16&lt;&gt;"P C Sum",$D16&lt;&gt;"PC Sum",$D16&lt;&gt;"P Sum",$D16&lt;&gt;"Prov Sum")</xm:f>
            <x14:dxf>
              <font>
                <color theme="0"/>
              </font>
            </x14:dxf>
          </x14:cfRule>
          <xm:sqref>F16</xm:sqref>
        </x14:conditionalFormatting>
        <x14:conditionalFormatting xmlns:xm="http://schemas.microsoft.com/office/excel/2006/main">
          <x14:cfRule type="expression" priority="13" id="{D96D5C13-4D9F-4A74-8F04-4093F0B39F55}">
            <xm:f>AND(Home!$C$8=FALSE,$D20&lt;&gt;"P C Sum",$D20&lt;&gt;"PC Sum",$D20&lt;&gt;"P Sum",$D20&lt;&gt;"Prov Sum")</xm:f>
            <x14:dxf>
              <font>
                <color theme="0"/>
              </font>
            </x14:dxf>
          </x14:cfRule>
          <xm:sqref>F20</xm:sqref>
        </x14:conditionalFormatting>
        <x14:conditionalFormatting xmlns:xm="http://schemas.microsoft.com/office/excel/2006/main">
          <x14:cfRule type="expression" priority="12" id="{33F639E1-0817-4C0F-B99B-14268B1835EE}">
            <xm:f>AND(Home!$C$8=FALSE,$D24&lt;&gt;"P C Sum",$D24&lt;&gt;"PC Sum",$D24&lt;&gt;"P Sum",$D24&lt;&gt;"Prov Sum")</xm:f>
            <x14:dxf>
              <font>
                <color theme="0"/>
              </font>
            </x14:dxf>
          </x14:cfRule>
          <xm:sqref>F24</xm:sqref>
        </x14:conditionalFormatting>
        <x14:conditionalFormatting xmlns:xm="http://schemas.microsoft.com/office/excel/2006/main">
          <x14:cfRule type="expression" priority="11" id="{5E346A4D-E4EC-46BB-BA71-057DC694F019}">
            <xm:f>AND(Home!$C$8=FALSE,$D28&lt;&gt;"P C Sum",$D28&lt;&gt;"PC Sum",$D28&lt;&gt;"P Sum",$D28&lt;&gt;"Prov Sum")</xm:f>
            <x14:dxf>
              <font>
                <color theme="0"/>
              </font>
            </x14:dxf>
          </x14:cfRule>
          <xm:sqref>F28</xm:sqref>
        </x14:conditionalFormatting>
        <x14:conditionalFormatting xmlns:xm="http://schemas.microsoft.com/office/excel/2006/main">
          <x14:cfRule type="expression" priority="10" id="{CBCEB500-2E5A-4FE0-8EBC-0B9D2D60B997}">
            <xm:f>AND(Home!$C$8=FALSE,$D32&lt;&gt;"P C Sum",$D32&lt;&gt;"PC Sum",$D32&lt;&gt;"P Sum",$D32&lt;&gt;"Prov Sum")</xm:f>
            <x14:dxf>
              <font>
                <color theme="0"/>
              </font>
            </x14:dxf>
          </x14:cfRule>
          <xm:sqref>F32</xm:sqref>
        </x14:conditionalFormatting>
        <x14:conditionalFormatting xmlns:xm="http://schemas.microsoft.com/office/excel/2006/main">
          <x14:cfRule type="expression" priority="9" id="{ECD750F6-89D9-4297-A1DF-0B2D8CC72313}">
            <xm:f>AND(Home!$C$8=FALSE,$D34&lt;&gt;"P C Sum",$D34&lt;&gt;"PC Sum",$D34&lt;&gt;"P Sum",$D34&lt;&gt;"Prov Sum")</xm:f>
            <x14:dxf>
              <font>
                <color theme="0"/>
              </font>
            </x14:dxf>
          </x14:cfRule>
          <xm:sqref>F34:F36</xm:sqref>
        </x14:conditionalFormatting>
        <x14:conditionalFormatting xmlns:xm="http://schemas.microsoft.com/office/excel/2006/main">
          <x14:cfRule type="expression" priority="8" id="{AD606512-5F67-4512-8F67-ABEC82167EAC}">
            <xm:f>AND(Home!$C$8=FALSE,$D40&lt;&gt;"P C Sum",$D40&lt;&gt;"PC Sum",$D40&lt;&gt;"P Sum",$D40&lt;&gt;"Prov Sum")</xm:f>
            <x14:dxf>
              <font>
                <color theme="0"/>
              </font>
            </x14:dxf>
          </x14:cfRule>
          <xm:sqref>F40</xm:sqref>
        </x14:conditionalFormatting>
        <x14:conditionalFormatting xmlns:xm="http://schemas.microsoft.com/office/excel/2006/main">
          <x14:cfRule type="expression" priority="7" id="{BDAF4EDE-8094-4B8A-B00D-6CCDA26BECC2}">
            <xm:f>AND(Home!$C$8=FALSE,$D18&lt;&gt;"P C Sum",$D18&lt;&gt;"PC Sum",$D18&lt;&gt;"P Sum",$D18&lt;&gt;"Prov Sum")</xm:f>
            <x14:dxf>
              <font>
                <color theme="0"/>
              </font>
            </x14:dxf>
          </x14:cfRule>
          <xm:sqref>F18:H18</xm:sqref>
        </x14:conditionalFormatting>
        <x14:conditionalFormatting xmlns:xm="http://schemas.microsoft.com/office/excel/2006/main">
          <x14:cfRule type="expression" priority="6" id="{A2D67655-A2C4-4E7E-8638-F8CC22B4B47E}">
            <xm:f>AND(Home!$C$8=FALSE,$D22&lt;&gt;"P C Sum",$D22&lt;&gt;"PC Sum",$D22&lt;&gt;"P Sum",$D22&lt;&gt;"Prov Sum")</xm:f>
            <x14:dxf>
              <font>
                <color theme="0"/>
              </font>
            </x14:dxf>
          </x14:cfRule>
          <xm:sqref>F22:H22</xm:sqref>
        </x14:conditionalFormatting>
        <x14:conditionalFormatting xmlns:xm="http://schemas.microsoft.com/office/excel/2006/main">
          <x14:cfRule type="expression" priority="5" id="{E1049CEE-041B-409C-A7A0-DB524EFD84F4}">
            <xm:f>AND(Home!$C$8=FALSE,$D26&lt;&gt;"P C Sum",$D26&lt;&gt;"PC Sum",$D26&lt;&gt;"P Sum",$D26&lt;&gt;"Prov Sum")</xm:f>
            <x14:dxf>
              <font>
                <color theme="0"/>
              </font>
            </x14:dxf>
          </x14:cfRule>
          <xm:sqref>F26:H26</xm:sqref>
        </x14:conditionalFormatting>
        <x14:conditionalFormatting xmlns:xm="http://schemas.microsoft.com/office/excel/2006/main">
          <x14:cfRule type="expression" priority="4" id="{4FB0CFA2-2BAC-4737-AAFF-2096DBA7C0D5}">
            <xm:f>AND(Home!$C$8=FALSE,$D30&lt;&gt;"P C Sum",$D30&lt;&gt;"PC Sum",$D30&lt;&gt;"P Sum",$D30&lt;&gt;"Prov Sum")</xm:f>
            <x14:dxf>
              <font>
                <color theme="0"/>
              </font>
            </x14:dxf>
          </x14:cfRule>
          <xm:sqref>F30:H30</xm:sqref>
        </x14:conditionalFormatting>
        <x14:conditionalFormatting xmlns:xm="http://schemas.microsoft.com/office/excel/2006/main">
          <x14:cfRule type="expression" priority="2" id="{F49F8245-4F3C-4B2C-8110-7D259BEDD552}">
            <xm:f>AND(Home!$C$8=FALSE,$D38&lt;&gt;"P C Sum",$D38&lt;&gt;"PC Sum",$D38&lt;&gt;"P Sum",$D38&lt;&gt;"Prov Sum")</xm:f>
            <x14:dxf>
              <font>
                <color theme="0"/>
              </font>
            </x14:dxf>
          </x14:cfRule>
          <xm:sqref>F38:H38</xm:sqref>
        </x14:conditionalFormatting>
        <x14:conditionalFormatting xmlns:xm="http://schemas.microsoft.com/office/excel/2006/main">
          <x14:cfRule type="expression" priority="1" id="{E59E11E0-6472-4275-9D47-A901E0CFF553}">
            <xm:f>AND(Home!$C$8=FALSE,$D42&lt;&gt;"P C Sum",$D42&lt;&gt;"PC Sum",$D42&lt;&gt;"P Sum",$D42&lt;&gt;"Prov Sum")</xm:f>
            <x14:dxf>
              <font>
                <color theme="0"/>
              </font>
            </x14:dxf>
          </x14:cfRule>
          <xm:sqref>F42:H42</xm:sqref>
        </x14:conditionalFormatting>
        <x14:conditionalFormatting xmlns:xm="http://schemas.microsoft.com/office/excel/2006/main">
          <x14:cfRule type="expression" priority="25" id="{70D6F641-2AA9-4B76-B1A3-F670CBFA3C16}">
            <xm:f>AND(Home!$C$8=FALSE,$D10&lt;&gt;"P C Sum",$D10&lt;&gt;"PC Sum",$D10&lt;&gt;"P Sum",$D10&lt;&gt;"Prov Sum")</xm:f>
            <x14:dxf>
              <font>
                <color theme="0"/>
              </font>
            </x14:dxf>
          </x14:cfRule>
          <xm:sqref>G10:H17 G19:H21 G23:H25 G27:H29 G39:H41 G43:H44</xm:sqref>
        </x14:conditionalFormatting>
        <x14:conditionalFormatting xmlns:xm="http://schemas.microsoft.com/office/excel/2006/main">
          <x14:cfRule type="expression" priority="3" id="{D62F1510-D59D-4C4A-864D-280A10FB6524}">
            <xm:f>AND(Home!$C$8=FALSE,$D31&lt;&gt;"P C Sum",$D31&lt;&gt;"PC Sum",$D31&lt;&gt;"P Sum",$D31&lt;&gt;"Prov Sum")</xm:f>
            <x14:dxf>
              <font>
                <color theme="0"/>
              </font>
            </x14:dxf>
          </x14:cfRule>
          <xm:sqref>G31:H37</xm:sqref>
        </x14:conditionalFormatting>
        <x14:conditionalFormatting xmlns:xm="http://schemas.microsoft.com/office/excel/2006/main">
          <x14:cfRule type="expression" priority="29" id="{32DF1776-33ED-4CF9-8C62-17A515BDF356}">
            <xm:f>AND(Home!$C$8=FALSE,$D45&lt;&gt;"P C Sum",$D45&lt;&gt;"PC Sum",$D45&lt;&gt;"P Sum",$D45&lt;&gt;"Prov Sum")</xm:f>
            <x14:dxf>
              <font>
                <color theme="0"/>
              </font>
            </x14:dxf>
          </x14:cfRule>
          <xm:sqref>K44:M44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theme="3" tint="0.59999389629810485"/>
  </sheetPr>
  <dimension ref="B1:O34"/>
  <sheetViews>
    <sheetView showGridLines="0" view="pageBreakPreview" topLeftCell="A9" zoomScaleNormal="100" zoomScaleSheetLayoutView="100" zoomScalePageLayoutView="150" workbookViewId="0">
      <selection activeCell="I14" sqref="I14"/>
    </sheetView>
  </sheetViews>
  <sheetFormatPr defaultColWidth="8.81640625" defaultRowHeight="12.5" x14ac:dyDescent="0.25"/>
  <cols>
    <col min="1" max="1" width="2" style="631" customWidth="1"/>
    <col min="2" max="2" width="8.453125" style="628" customWidth="1"/>
    <col min="3" max="3" width="55.81640625" style="629" customWidth="1"/>
    <col min="4" max="4" width="6.54296875" style="629" customWidth="1"/>
    <col min="5" max="5" width="21.81640625" style="630" customWidth="1"/>
    <col min="6" max="6" width="1.453125" style="631" customWidth="1"/>
    <col min="7" max="7" width="9.6328125" style="631" customWidth="1"/>
    <col min="8" max="8" width="17.6328125" style="632" bestFit="1" customWidth="1"/>
    <col min="9" max="9" width="17.36328125" style="631" customWidth="1"/>
    <col min="10" max="10" width="8.81640625" style="631"/>
    <col min="11" max="11" width="15.453125" style="631" customWidth="1"/>
    <col min="12" max="12" width="12.54296875" style="631" customWidth="1"/>
    <col min="13" max="13" width="9.1796875" style="631" customWidth="1"/>
    <col min="14" max="14" width="15.08984375" style="631" bestFit="1" customWidth="1"/>
    <col min="15" max="16384" width="8.81640625" style="631"/>
  </cols>
  <sheetData>
    <row r="1" spans="2:12" x14ac:dyDescent="0.25">
      <c r="C1" s="628" t="str">
        <f>"Page C"&amp;Page_A</f>
        <v>Page C38</v>
      </c>
      <c r="E1" s="630">
        <f>E30</f>
        <v>10417500</v>
      </c>
    </row>
    <row r="2" spans="2:12" s="634" customFormat="1" ht="18" customHeight="1" x14ac:dyDescent="0.25">
      <c r="B2" s="20" t="str">
        <f>_Client1</f>
        <v>Province of KwaZulu-Natal</v>
      </c>
      <c r="C2" s="633"/>
      <c r="D2" s="633"/>
      <c r="F2" s="635" t="str">
        <f>'1.2'!F3</f>
        <v>Contract No. ZNB02642/00000/00/HOD/INF/25/T</v>
      </c>
      <c r="G2" s="516"/>
      <c r="H2" s="636"/>
      <c r="L2" s="516"/>
    </row>
    <row r="3" spans="2:12" s="634" customFormat="1" ht="16.5" customHeight="1" x14ac:dyDescent="0.25">
      <c r="B3" s="637" t="str">
        <f>_Client2</f>
        <v>Department of Transport</v>
      </c>
      <c r="C3" s="633"/>
      <c r="D3" s="633"/>
      <c r="E3" s="516"/>
      <c r="F3" s="516"/>
      <c r="G3" s="516"/>
      <c r="H3" s="636"/>
      <c r="J3" s="638"/>
      <c r="K3" s="638"/>
      <c r="L3" s="516"/>
    </row>
    <row r="4" spans="2:12" s="634" customFormat="1" ht="13.5" customHeight="1" x14ac:dyDescent="0.25">
      <c r="B4" s="639"/>
      <c r="C4" s="633"/>
      <c r="D4" s="633"/>
      <c r="E4" s="516"/>
      <c r="F4" s="516"/>
      <c r="G4" s="516"/>
      <c r="H4" s="636"/>
      <c r="J4" s="638"/>
      <c r="K4" s="638"/>
      <c r="L4" s="516"/>
    </row>
    <row r="5" spans="2:12" s="634" customFormat="1" ht="13.5" customHeight="1" x14ac:dyDescent="0.25">
      <c r="B5" s="639"/>
      <c r="C5" s="633"/>
      <c r="D5" s="633"/>
      <c r="E5" s="516"/>
      <c r="F5" s="516"/>
      <c r="G5" s="516"/>
      <c r="H5" s="636"/>
      <c r="J5" s="638"/>
      <c r="K5" s="638"/>
      <c r="L5" s="516"/>
    </row>
    <row r="6" spans="2:12" ht="12.75" customHeight="1" x14ac:dyDescent="0.25">
      <c r="B6" s="773" t="str">
        <f>'1.2'!B6</f>
        <v>SCHEDULE A: ROADWORKS</v>
      </c>
      <c r="C6" s="774"/>
      <c r="D6" s="774"/>
      <c r="E6" s="774"/>
    </row>
    <row r="7" spans="2:12" ht="12.75" customHeight="1" x14ac:dyDescent="0.25">
      <c r="B7" s="641"/>
      <c r="C7" s="642"/>
      <c r="D7" s="642"/>
      <c r="E7" s="642"/>
    </row>
    <row r="8" spans="2:12" ht="12.75" customHeight="1" x14ac:dyDescent="0.25">
      <c r="B8" s="776" t="s">
        <v>49</v>
      </c>
      <c r="C8" s="776"/>
      <c r="D8" s="776"/>
      <c r="E8" s="776"/>
    </row>
    <row r="9" spans="2:12" ht="12.75" customHeight="1" x14ac:dyDescent="0.25">
      <c r="B9" s="643"/>
      <c r="C9" s="643"/>
      <c r="D9" s="643"/>
      <c r="E9" s="643"/>
    </row>
    <row r="10" spans="2:12" ht="33.5" customHeight="1" x14ac:dyDescent="0.25">
      <c r="B10" s="777" t="s">
        <v>657</v>
      </c>
      <c r="C10" s="777"/>
      <c r="D10" s="777"/>
      <c r="E10" s="777"/>
    </row>
    <row r="11" spans="2:12" ht="21" customHeight="1" thickBot="1" x14ac:dyDescent="0.3">
      <c r="B11" s="775" t="s">
        <v>592</v>
      </c>
      <c r="C11" s="775"/>
      <c r="D11" s="775"/>
      <c r="E11" s="775"/>
    </row>
    <row r="12" spans="2:12" s="640" customFormat="1" ht="25" customHeight="1" thickBot="1" x14ac:dyDescent="0.3">
      <c r="B12" s="644" t="s">
        <v>20</v>
      </c>
      <c r="C12" s="645" t="s">
        <v>1</v>
      </c>
      <c r="D12" s="646" t="s">
        <v>92</v>
      </c>
      <c r="E12" s="647" t="s">
        <v>5</v>
      </c>
      <c r="H12" s="648"/>
    </row>
    <row r="13" spans="2:12" ht="21" customHeight="1" x14ac:dyDescent="0.25">
      <c r="B13" s="649">
        <v>1.2</v>
      </c>
      <c r="C13" s="650" t="str">
        <f>'1.2'!C11</f>
        <v>GENERAL REQUIREMENTS AND PAYMENTS</v>
      </c>
      <c r="D13" s="651"/>
      <c r="E13" s="652">
        <f>'1.2'!H122</f>
        <v>1250000</v>
      </c>
      <c r="G13" s="640"/>
      <c r="H13" s="653"/>
    </row>
    <row r="14" spans="2:12" s="657" customFormat="1" ht="24" customHeight="1" x14ac:dyDescent="0.25">
      <c r="B14" s="654">
        <v>1.3</v>
      </c>
      <c r="C14" s="655" t="str">
        <f>'1.3'!C11</f>
        <v>CONTRACTOR'S ESTABLISHMENT ON SITE AND GENERAL OBLIGATIONS</v>
      </c>
      <c r="D14" s="651"/>
      <c r="E14" s="656">
        <f>'1.3'!H1</f>
        <v>0</v>
      </c>
      <c r="G14" s="658"/>
      <c r="H14" s="659"/>
    </row>
    <row r="15" spans="2:12" ht="21" customHeight="1" x14ac:dyDescent="0.25">
      <c r="B15" s="654">
        <v>1.4</v>
      </c>
      <c r="C15" s="655" t="str">
        <f>'1.4'!C11</f>
        <v>FACILITIES FOR THE ENGINEER</v>
      </c>
      <c r="D15" s="651"/>
      <c r="E15" s="656">
        <f>'1.4'!H1</f>
        <v>130000</v>
      </c>
      <c r="G15" s="640"/>
      <c r="H15" s="653"/>
    </row>
    <row r="16" spans="2:12" ht="21" customHeight="1" x14ac:dyDescent="0.25">
      <c r="B16" s="654">
        <v>1.5</v>
      </c>
      <c r="C16" s="655" t="str">
        <f>'1.5'!C11</f>
        <v>ACCOMMODATION OF TRAFFIC</v>
      </c>
      <c r="D16" s="651"/>
      <c r="E16" s="656">
        <f>'1.5'!H1</f>
        <v>500000</v>
      </c>
      <c r="G16" s="640"/>
      <c r="H16" s="653"/>
    </row>
    <row r="17" spans="2:15" ht="21" customHeight="1" x14ac:dyDescent="0.25">
      <c r="B17" s="654">
        <v>2.1</v>
      </c>
      <c r="C17" s="655" t="str">
        <f>'2.1'!C11</f>
        <v>GENERAL REQUIREMENTS AND TRENCHING FOR SERVICES</v>
      </c>
      <c r="D17" s="651"/>
      <c r="E17" s="656">
        <f>'2.1'!H1</f>
        <v>7687500</v>
      </c>
      <c r="G17" s="640"/>
      <c r="H17" s="653"/>
    </row>
    <row r="18" spans="2:15" ht="21" customHeight="1" x14ac:dyDescent="0.25">
      <c r="B18" s="654">
        <v>4.4000000000000004</v>
      </c>
      <c r="C18" s="655" t="str">
        <f>'4.4'!C11</f>
        <v>COMMERCIAL MATERIALS</v>
      </c>
      <c r="D18" s="651"/>
      <c r="E18" s="656">
        <f>'4.4'!H1</f>
        <v>0</v>
      </c>
      <c r="G18" s="640"/>
      <c r="H18" s="653"/>
    </row>
    <row r="19" spans="2:15" ht="21" customHeight="1" x14ac:dyDescent="0.25">
      <c r="B19" s="654">
        <v>5.0999999999999996</v>
      </c>
      <c r="C19" s="655" t="str">
        <f>'5.1'!C11</f>
        <v>ROADBED</v>
      </c>
      <c r="D19" s="651"/>
      <c r="E19" s="656">
        <f>'5.1'!H1</f>
        <v>0</v>
      </c>
      <c r="G19" s="640"/>
      <c r="H19" s="653"/>
    </row>
    <row r="20" spans="2:15" ht="21" customHeight="1" x14ac:dyDescent="0.25">
      <c r="B20" s="654">
        <v>5.2</v>
      </c>
      <c r="C20" s="655" t="str">
        <f>'5.2'!C11</f>
        <v>FILL</v>
      </c>
      <c r="D20" s="651"/>
      <c r="E20" s="656">
        <f>'5.2'!H26</f>
        <v>0</v>
      </c>
      <c r="G20" s="640"/>
      <c r="H20" s="653"/>
    </row>
    <row r="21" spans="2:15" ht="21" customHeight="1" x14ac:dyDescent="0.25">
      <c r="B21" s="654">
        <v>5.3</v>
      </c>
      <c r="C21" s="655" t="str">
        <f>'5.3'!C11</f>
        <v>ROAD PAVEMENT LAYERS</v>
      </c>
      <c r="D21" s="651"/>
      <c r="E21" s="656">
        <f>'5.3'!H27</f>
        <v>0</v>
      </c>
      <c r="G21" s="640"/>
      <c r="H21" s="653"/>
    </row>
    <row r="22" spans="2:15" ht="21" customHeight="1" x14ac:dyDescent="0.25">
      <c r="B22" s="654">
        <v>5.4</v>
      </c>
      <c r="C22" s="655" t="str">
        <f>'5.4'!C11</f>
        <v>STABILIZATION</v>
      </c>
      <c r="D22" s="651"/>
      <c r="E22" s="656">
        <f>'5.4'!H1</f>
        <v>0</v>
      </c>
      <c r="G22" s="640"/>
      <c r="H22" s="653"/>
    </row>
    <row r="23" spans="2:15" ht="21" customHeight="1" x14ac:dyDescent="0.25">
      <c r="B23" s="654">
        <v>6.2</v>
      </c>
      <c r="C23" s="655" t="s">
        <v>637</v>
      </c>
      <c r="D23" s="651"/>
      <c r="E23" s="656">
        <f>'6.2'!H18</f>
        <v>0</v>
      </c>
      <c r="G23" s="640"/>
      <c r="H23" s="653"/>
    </row>
    <row r="24" spans="2:15" ht="21" customHeight="1" x14ac:dyDescent="0.25">
      <c r="B24" s="654">
        <v>8.1</v>
      </c>
      <c r="C24" s="655" t="str">
        <f>'8.1'!C11</f>
        <v>PRIME COAT</v>
      </c>
      <c r="D24" s="651"/>
      <c r="E24" s="656">
        <f>'8.1'!H1</f>
        <v>0</v>
      </c>
      <c r="G24" s="640"/>
      <c r="H24" s="653"/>
    </row>
    <row r="25" spans="2:15" ht="21" customHeight="1" x14ac:dyDescent="0.25">
      <c r="B25" s="660" t="s">
        <v>583</v>
      </c>
      <c r="C25" s="655" t="str">
        <f>'10.1'!C11</f>
        <v>SURFACE TREATMENT</v>
      </c>
      <c r="D25" s="651"/>
      <c r="E25" s="656">
        <f>'10.1'!H46</f>
        <v>0</v>
      </c>
      <c r="G25" s="640"/>
      <c r="H25" s="653"/>
    </row>
    <row r="26" spans="2:15" ht="28.5" customHeight="1" x14ac:dyDescent="0.25">
      <c r="B26" s="660" t="s">
        <v>589</v>
      </c>
      <c r="C26" s="655" t="str">
        <f>'11.9'!C11</f>
        <v>FINISHING THE ROAD AND ROAD RESERVE AND TREATING OLD ROADS</v>
      </c>
      <c r="D26" s="651"/>
      <c r="E26" s="656">
        <f>'11.9'!H18</f>
        <v>0</v>
      </c>
      <c r="G26" s="640"/>
      <c r="H26" s="661"/>
      <c r="I26" s="662"/>
      <c r="K26" s="663"/>
      <c r="L26" s="664"/>
      <c r="N26" s="663"/>
      <c r="O26" s="664"/>
    </row>
    <row r="27" spans="2:15" ht="24.75" customHeight="1" x14ac:dyDescent="0.25">
      <c r="B27" s="660" t="s">
        <v>646</v>
      </c>
      <c r="C27" s="655" t="s">
        <v>643</v>
      </c>
      <c r="D27" s="651"/>
      <c r="E27" s="656">
        <f>'13.8'!H18</f>
        <v>0</v>
      </c>
      <c r="G27" s="640"/>
      <c r="H27" s="661"/>
      <c r="I27" s="662"/>
      <c r="K27" s="663"/>
      <c r="L27" s="664"/>
      <c r="N27" s="663"/>
      <c r="O27" s="664"/>
    </row>
    <row r="28" spans="2:15" ht="21" customHeight="1" x14ac:dyDescent="0.25">
      <c r="B28" s="660" t="s">
        <v>590</v>
      </c>
      <c r="C28" s="655" t="str">
        <f>'20.1'!C11</f>
        <v>TESTING MATERIAL AND JUDGEMENT OF WORKMANSHIP</v>
      </c>
      <c r="D28" s="651"/>
      <c r="E28" s="656">
        <f>'20.1'!H20</f>
        <v>350000</v>
      </c>
      <c r="G28" s="640"/>
      <c r="H28" s="653"/>
    </row>
    <row r="29" spans="2:15" ht="24.75" customHeight="1" thickBot="1" x14ac:dyDescent="0.3">
      <c r="B29" s="660" t="s">
        <v>692</v>
      </c>
      <c r="C29" s="655" t="str">
        <f>'PCS1.2.11'!C11</f>
        <v>MAINTENANCE OF ROAD DURING DEFECT LIABILITY PERIOD</v>
      </c>
      <c r="D29" s="651"/>
      <c r="E29" s="656">
        <f>'PCS1.2.11'!H44</f>
        <v>500000</v>
      </c>
      <c r="G29" s="640"/>
      <c r="H29" s="653"/>
    </row>
    <row r="30" spans="2:15" ht="23.5" customHeight="1" thickBot="1" x14ac:dyDescent="0.3">
      <c r="B30" s="665" t="str">
        <f>"TOTAL CARRIED FORWARD TO SUMMARY "</f>
        <v xml:space="preserve">TOTAL CARRIED FORWARD TO SUMMARY </v>
      </c>
      <c r="C30" s="666"/>
      <c r="D30" s="667"/>
      <c r="E30" s="142">
        <f>SUM(E13:E29)</f>
        <v>10417500</v>
      </c>
      <c r="H30" s="668"/>
    </row>
    <row r="31" spans="2:15" x14ac:dyDescent="0.25">
      <c r="E31" s="669"/>
      <c r="H31" s="668"/>
    </row>
    <row r="34" spans="3:3" x14ac:dyDescent="0.25">
      <c r="C34" s="631"/>
    </row>
  </sheetData>
  <sheetProtection algorithmName="SHA-512" hashValue="nnRbeMGOGxh2FdmMxo1/a2pAB9KgsB8obPkwMfBhK3oT7RsD5R+LJpFX9Wk2w6DcRNjcdM/pqez6U+tR10tkdg==" saltValue="FnMwwDjtt4tFWxMZllhmZw==" spinCount="100000" sheet="1" objects="1" scenarios="1"/>
  <mergeCells count="4">
    <mergeCell ref="B6:E6"/>
    <mergeCell ref="B11:E11"/>
    <mergeCell ref="B8:E8"/>
    <mergeCell ref="B10:E10"/>
  </mergeCells>
  <pageMargins left="0.43307086614173229" right="0.31496062992125984" top="0.43307086614173229" bottom="0.62992125984251968" header="0.35433070866141736" footer="0.31496062992125984"/>
  <pageSetup paperSize="9" scale="81"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3" id="{546D3244-11C9-4109-B8B3-F480FFE57B4C}">
            <xm:f>Home!$C$8=FALSE</xm:f>
            <x14:dxf>
              <font>
                <color theme="0"/>
              </font>
            </x14:dxf>
          </x14:cfRule>
          <xm:sqref>E13:E30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8">
    <tabColor rgb="FFFFFF00"/>
  </sheetPr>
  <dimension ref="A1:O128"/>
  <sheetViews>
    <sheetView showGridLines="0" tabSelected="1" view="pageBreakPreview" zoomScale="85" zoomScaleNormal="145" zoomScaleSheetLayoutView="85" zoomScalePageLayoutView="125" workbookViewId="0">
      <pane xSplit="5" ySplit="2" topLeftCell="F3" activePane="bottomRight" state="frozen"/>
      <selection activeCell="A120" sqref="A120:XFD120"/>
      <selection pane="topRight" activeCell="A120" sqref="A120:XFD120"/>
      <selection pane="bottomLeft" activeCell="A120" sqref="A120:XFD120"/>
      <selection pane="bottomRight" activeCell="K12" sqref="K12"/>
    </sheetView>
  </sheetViews>
  <sheetFormatPr defaultColWidth="8.81640625" defaultRowHeight="11.5" x14ac:dyDescent="0.25"/>
  <cols>
    <col min="1" max="1" width="1.1796875" style="23" customWidth="1"/>
    <col min="2" max="2" width="8.81640625" style="54" customWidth="1"/>
    <col min="3" max="3" width="41.1796875" style="24" customWidth="1"/>
    <col min="4" max="4" width="9" style="25" customWidth="1"/>
    <col min="5" max="5" width="4.453125" style="25" customWidth="1"/>
    <col min="6" max="6" width="12.6328125" style="25" customWidth="1"/>
    <col min="7" max="7" width="12.1796875" style="23" customWidth="1"/>
    <col min="8" max="8" width="17" style="26" customWidth="1"/>
    <col min="9" max="9" width="1.1796875" style="26" customWidth="1"/>
    <col min="10" max="10" width="13.54296875" style="57" customWidth="1"/>
    <col min="11" max="12" width="14.1796875" style="57" customWidth="1"/>
    <col min="13" max="13" width="14.1796875" style="23" customWidth="1"/>
    <col min="14" max="14" width="17.81640625" style="23" customWidth="1"/>
    <col min="15" max="16384" width="8.81640625" style="23"/>
  </cols>
  <sheetData>
    <row r="1" spans="1:15" x14ac:dyDescent="0.25">
      <c r="A1" s="53"/>
      <c r="C1" s="24" t="s">
        <v>61</v>
      </c>
      <c r="F1" s="26" t="s">
        <v>93</v>
      </c>
      <c r="G1" s="24">
        <v>1</v>
      </c>
      <c r="H1" s="55">
        <f>MAX(H2:H154)-3351500</f>
        <v>-2101500</v>
      </c>
      <c r="I1" s="56"/>
    </row>
    <row r="2" spans="1:15" x14ac:dyDescent="0.25">
      <c r="B2" s="145"/>
      <c r="C2" s="61"/>
      <c r="D2" s="61"/>
      <c r="E2" s="61"/>
      <c r="F2" s="61"/>
      <c r="G2" s="61"/>
      <c r="H2" s="61"/>
      <c r="J2" s="159"/>
      <c r="K2" s="159"/>
      <c r="L2" s="159"/>
      <c r="M2" s="159"/>
    </row>
    <row r="3" spans="1:15" x14ac:dyDescent="0.25">
      <c r="B3" s="63" t="str">
        <f>_Client1</f>
        <v>Province of KwaZulu-Natal</v>
      </c>
      <c r="F3" s="753" t="str">
        <f>"Contract No. "&amp;_ContractNo</f>
        <v>Contract No. ZNB02642/00000/00/HOD/INF/25/T</v>
      </c>
      <c r="G3" s="753"/>
      <c r="H3" s="753"/>
    </row>
    <row r="4" spans="1:15" x14ac:dyDescent="0.25">
      <c r="B4" s="64" t="str">
        <f>_Client2</f>
        <v>Department of Transport</v>
      </c>
    </row>
    <row r="5" spans="1:15" x14ac:dyDescent="0.25">
      <c r="B5" s="24"/>
    </row>
    <row r="6" spans="1:15" x14ac:dyDescent="0.25">
      <c r="B6" s="65" t="s">
        <v>21</v>
      </c>
      <c r="C6" s="58"/>
      <c r="D6" s="59"/>
      <c r="E6" s="59"/>
      <c r="F6" s="751" t="str">
        <f>"SECTION "&amp;B11</f>
        <v>SECTION 1.2</v>
      </c>
      <c r="G6" s="751"/>
      <c r="H6" s="752"/>
      <c r="I6" s="60"/>
      <c r="J6" s="160"/>
      <c r="K6" s="160"/>
      <c r="L6" s="160"/>
      <c r="M6" s="35"/>
    </row>
    <row r="7" spans="1:15" ht="33" customHeight="1" x14ac:dyDescent="0.25">
      <c r="B7" s="754" t="str">
        <f>_Description</f>
        <v>COMPLETION OF PARTLY CONSTRUCTED ROAD, PRISM, DRAINAGE, LAYERWORKS AND SURFACING ON DISTRICT ROAD 1841, KM 4.50 TO KM 10.24 IN THE EMPANGENI REGION.</v>
      </c>
      <c r="C7" s="755"/>
      <c r="D7" s="755"/>
      <c r="E7" s="755"/>
      <c r="F7" s="755"/>
      <c r="G7" s="755"/>
      <c r="H7" s="756"/>
      <c r="I7" s="31"/>
      <c r="J7" s="161"/>
      <c r="K7" s="161"/>
      <c r="L7" s="161"/>
      <c r="M7" s="162"/>
    </row>
    <row r="8" spans="1:15" ht="8.15" customHeight="1" x14ac:dyDescent="0.25">
      <c r="B8" s="27"/>
      <c r="C8" s="68"/>
      <c r="D8" s="68"/>
      <c r="E8" s="68"/>
      <c r="F8" s="68"/>
      <c r="G8" s="68"/>
      <c r="H8" s="69"/>
      <c r="I8" s="31"/>
      <c r="J8" s="161"/>
      <c r="K8" s="161"/>
      <c r="L8" s="161"/>
      <c r="M8" s="162"/>
    </row>
    <row r="9" spans="1:15" s="61" customFormat="1" ht="20.149999999999999" customHeight="1" x14ac:dyDescent="0.25">
      <c r="B9" s="6" t="s">
        <v>0</v>
      </c>
      <c r="C9" s="5" t="s">
        <v>1</v>
      </c>
      <c r="D9" s="5" t="s">
        <v>2</v>
      </c>
      <c r="E9" s="5" t="s">
        <v>30</v>
      </c>
      <c r="F9" s="5" t="s">
        <v>3</v>
      </c>
      <c r="G9" s="5" t="s">
        <v>4</v>
      </c>
      <c r="H9" s="5" t="s">
        <v>5</v>
      </c>
      <c r="I9" s="10"/>
      <c r="J9" s="159"/>
      <c r="K9" s="159"/>
      <c r="L9" s="159"/>
      <c r="M9" s="10"/>
    </row>
    <row r="10" spans="1:15" x14ac:dyDescent="0.25">
      <c r="B10" s="9"/>
      <c r="C10" s="2"/>
      <c r="D10" s="3"/>
      <c r="E10" s="1"/>
      <c r="F10" s="3"/>
      <c r="G10" s="12"/>
      <c r="H10" s="13" t="str">
        <f>IF(D10="","",F10*G10)</f>
        <v/>
      </c>
      <c r="I10" s="15"/>
      <c r="J10" s="163"/>
      <c r="K10" s="164"/>
      <c r="L10" s="165"/>
      <c r="M10" s="80"/>
      <c r="N10" s="26"/>
      <c r="O10" s="57"/>
    </row>
    <row r="11" spans="1:15" x14ac:dyDescent="0.25">
      <c r="B11" s="143" t="s">
        <v>198</v>
      </c>
      <c r="C11" s="144" t="s">
        <v>199</v>
      </c>
      <c r="D11" s="3"/>
      <c r="E11" s="1"/>
      <c r="F11" s="3"/>
      <c r="G11" s="12"/>
      <c r="H11" s="13" t="str">
        <f t="shared" ref="H11:H121" si="0">IF(D11="","",F11*G11)</f>
        <v/>
      </c>
      <c r="I11" s="15"/>
      <c r="J11" s="163"/>
      <c r="K11" s="164"/>
      <c r="L11" s="165"/>
      <c r="M11" s="80"/>
    </row>
    <row r="12" spans="1:15" x14ac:dyDescent="0.25">
      <c r="B12" s="9"/>
      <c r="C12" s="2"/>
      <c r="D12" s="3"/>
      <c r="E12" s="1"/>
      <c r="F12" s="3"/>
      <c r="G12" s="12"/>
      <c r="H12" s="13" t="str">
        <f t="shared" si="0"/>
        <v/>
      </c>
      <c r="I12" s="15"/>
      <c r="J12" s="163"/>
      <c r="K12" s="164"/>
      <c r="L12" s="165"/>
      <c r="M12" s="80"/>
    </row>
    <row r="13" spans="1:15" x14ac:dyDescent="0.25">
      <c r="B13" s="7" t="s">
        <v>200</v>
      </c>
      <c r="C13" s="2" t="s">
        <v>201</v>
      </c>
      <c r="D13" s="3"/>
      <c r="E13" s="1"/>
      <c r="F13" s="3"/>
      <c r="G13" s="12"/>
      <c r="H13" s="13" t="str">
        <f t="shared" si="0"/>
        <v/>
      </c>
      <c r="I13" s="15"/>
      <c r="J13" s="163"/>
      <c r="K13" s="164"/>
      <c r="L13" s="165"/>
      <c r="M13" s="80"/>
    </row>
    <row r="14" spans="1:15" x14ac:dyDescent="0.25">
      <c r="B14" s="7"/>
      <c r="C14" s="2"/>
      <c r="D14" s="3"/>
      <c r="E14" s="1"/>
      <c r="F14" s="3"/>
      <c r="G14" s="12"/>
      <c r="H14" s="13" t="str">
        <f t="shared" si="0"/>
        <v/>
      </c>
      <c r="I14" s="15"/>
      <c r="J14" s="163"/>
      <c r="K14" s="164"/>
      <c r="L14" s="165"/>
      <c r="M14" s="80"/>
    </row>
    <row r="15" spans="1:15" ht="23" x14ac:dyDescent="0.25">
      <c r="B15" s="7" t="s">
        <v>202</v>
      </c>
      <c r="C15" s="2" t="s">
        <v>203</v>
      </c>
      <c r="D15" s="3" t="s">
        <v>34</v>
      </c>
      <c r="E15" s="1"/>
      <c r="F15" s="133">
        <v>12</v>
      </c>
      <c r="G15" s="171">
        <v>0</v>
      </c>
      <c r="H15" s="170">
        <f t="shared" si="0"/>
        <v>0</v>
      </c>
      <c r="I15" s="16"/>
      <c r="J15" s="164"/>
      <c r="K15" s="164"/>
      <c r="L15" s="165"/>
      <c r="M15" s="80"/>
    </row>
    <row r="16" spans="1:15" x14ac:dyDescent="0.25">
      <c r="B16" s="7"/>
      <c r="C16" s="2"/>
      <c r="D16" s="3"/>
      <c r="E16" s="1"/>
      <c r="F16" s="133"/>
      <c r="G16" s="151"/>
      <c r="H16" s="146" t="str">
        <f t="shared" si="0"/>
        <v/>
      </c>
      <c r="I16" s="16"/>
      <c r="J16" s="164"/>
      <c r="K16" s="164"/>
      <c r="L16" s="165"/>
      <c r="M16" s="80"/>
    </row>
    <row r="17" spans="2:13" x14ac:dyDescent="0.25">
      <c r="B17" s="7" t="s">
        <v>232</v>
      </c>
      <c r="C17" s="2" t="s">
        <v>233</v>
      </c>
      <c r="D17" s="3" t="s">
        <v>197</v>
      </c>
      <c r="E17" s="1"/>
      <c r="F17" s="133">
        <v>12</v>
      </c>
      <c r="G17" s="171">
        <v>0</v>
      </c>
      <c r="H17" s="170">
        <f t="shared" si="0"/>
        <v>0</v>
      </c>
      <c r="I17" s="16"/>
      <c r="J17" s="164"/>
      <c r="K17" s="164"/>
      <c r="L17" s="165"/>
      <c r="M17" s="80"/>
    </row>
    <row r="18" spans="2:13" x14ac:dyDescent="0.25">
      <c r="B18" s="7"/>
      <c r="C18" s="2"/>
      <c r="D18" s="3"/>
      <c r="E18" s="1"/>
      <c r="F18" s="133"/>
      <c r="G18" s="151"/>
      <c r="H18" s="146"/>
      <c r="I18" s="16"/>
      <c r="J18" s="164"/>
      <c r="K18" s="164"/>
      <c r="L18" s="165"/>
      <c r="M18" s="80"/>
    </row>
    <row r="19" spans="2:13" x14ac:dyDescent="0.25">
      <c r="B19" s="7"/>
      <c r="C19" s="2"/>
      <c r="D19" s="3"/>
      <c r="E19" s="1"/>
      <c r="F19" s="133"/>
      <c r="G19" s="151"/>
      <c r="H19" s="146" t="str">
        <f t="shared" si="0"/>
        <v/>
      </c>
      <c r="I19" s="16"/>
      <c r="J19" s="164"/>
      <c r="K19" s="164"/>
      <c r="L19" s="165"/>
      <c r="M19" s="80"/>
    </row>
    <row r="20" spans="2:13" x14ac:dyDescent="0.25">
      <c r="B20" s="7" t="s">
        <v>235</v>
      </c>
      <c r="C20" s="2" t="s">
        <v>234</v>
      </c>
      <c r="D20" s="3"/>
      <c r="E20" s="1"/>
      <c r="F20" s="133"/>
      <c r="G20" s="151"/>
      <c r="H20" s="146" t="str">
        <f t="shared" si="0"/>
        <v/>
      </c>
      <c r="I20" s="16"/>
      <c r="J20" s="164"/>
      <c r="K20" s="164"/>
      <c r="L20" s="165"/>
      <c r="M20" s="80"/>
    </row>
    <row r="21" spans="2:13" x14ac:dyDescent="0.25">
      <c r="B21" s="7"/>
      <c r="C21" s="2"/>
      <c r="D21" s="3"/>
      <c r="E21" s="1"/>
      <c r="F21" s="133"/>
      <c r="G21" s="151"/>
      <c r="H21" s="146" t="str">
        <f t="shared" si="0"/>
        <v/>
      </c>
      <c r="I21" s="16"/>
      <c r="J21" s="164"/>
      <c r="K21" s="164"/>
      <c r="L21" s="165"/>
      <c r="M21" s="80"/>
    </row>
    <row r="22" spans="2:13" x14ac:dyDescent="0.25">
      <c r="B22" s="7" t="s">
        <v>237</v>
      </c>
      <c r="C22" s="2" t="s">
        <v>236</v>
      </c>
      <c r="D22" s="3" t="s">
        <v>244</v>
      </c>
      <c r="E22" s="1"/>
      <c r="F22" s="133">
        <v>1</v>
      </c>
      <c r="G22" s="171">
        <v>0</v>
      </c>
      <c r="H22" s="170">
        <f t="shared" si="0"/>
        <v>0</v>
      </c>
      <c r="I22" s="16"/>
      <c r="J22" s="164"/>
      <c r="K22" s="164"/>
      <c r="L22" s="165"/>
      <c r="M22" s="80"/>
    </row>
    <row r="23" spans="2:13" x14ac:dyDescent="0.25">
      <c r="B23" s="7"/>
      <c r="C23" s="2"/>
      <c r="D23" s="3"/>
      <c r="E23" s="1"/>
      <c r="F23" s="133"/>
      <c r="G23" s="151"/>
      <c r="H23" s="146" t="str">
        <f t="shared" si="0"/>
        <v/>
      </c>
      <c r="I23" s="16"/>
      <c r="J23" s="164"/>
      <c r="K23" s="164"/>
      <c r="L23" s="165"/>
      <c r="M23" s="80"/>
    </row>
    <row r="24" spans="2:13" x14ac:dyDescent="0.25">
      <c r="B24" s="7" t="s">
        <v>238</v>
      </c>
      <c r="C24" s="2" t="s">
        <v>239</v>
      </c>
      <c r="D24" s="3" t="s">
        <v>244</v>
      </c>
      <c r="E24" s="1"/>
      <c r="F24" s="133">
        <v>1</v>
      </c>
      <c r="G24" s="171">
        <v>0</v>
      </c>
      <c r="H24" s="170">
        <f t="shared" si="0"/>
        <v>0</v>
      </c>
      <c r="I24" s="16"/>
      <c r="J24" s="164"/>
      <c r="K24" s="164"/>
      <c r="L24" s="165"/>
      <c r="M24" s="80"/>
    </row>
    <row r="25" spans="2:13" x14ac:dyDescent="0.25">
      <c r="B25" s="7"/>
      <c r="C25" s="2"/>
      <c r="D25" s="3"/>
      <c r="E25" s="1"/>
      <c r="F25" s="133"/>
      <c r="G25" s="151"/>
      <c r="H25" s="146" t="str">
        <f t="shared" si="0"/>
        <v/>
      </c>
      <c r="I25" s="16"/>
      <c r="J25" s="164"/>
      <c r="K25" s="164"/>
      <c r="L25" s="165"/>
      <c r="M25" s="80"/>
    </row>
    <row r="26" spans="2:13" ht="23" x14ac:dyDescent="0.25">
      <c r="B26" s="7" t="s">
        <v>240</v>
      </c>
      <c r="C26" s="2" t="s">
        <v>241</v>
      </c>
      <c r="D26" s="3" t="s">
        <v>197</v>
      </c>
      <c r="E26" s="1"/>
      <c r="F26" s="133">
        <v>12</v>
      </c>
      <c r="G26" s="171">
        <v>0</v>
      </c>
      <c r="H26" s="170">
        <f t="shared" si="0"/>
        <v>0</v>
      </c>
      <c r="I26" s="16"/>
      <c r="J26" s="164"/>
      <c r="K26" s="164"/>
      <c r="L26" s="165"/>
      <c r="M26" s="80"/>
    </row>
    <row r="27" spans="2:13" x14ac:dyDescent="0.25">
      <c r="B27" s="7"/>
      <c r="C27" s="2"/>
      <c r="D27" s="3"/>
      <c r="E27" s="1"/>
      <c r="F27" s="133"/>
      <c r="G27" s="151"/>
      <c r="H27" s="146" t="str">
        <f t="shared" si="0"/>
        <v/>
      </c>
      <c r="I27" s="16"/>
      <c r="J27" s="164"/>
      <c r="K27" s="164"/>
      <c r="L27" s="165"/>
      <c r="M27" s="80"/>
    </row>
    <row r="28" spans="2:13" x14ac:dyDescent="0.25">
      <c r="B28" s="7" t="s">
        <v>464</v>
      </c>
      <c r="C28" s="2" t="s">
        <v>465</v>
      </c>
      <c r="D28" s="3" t="s">
        <v>197</v>
      </c>
      <c r="E28" s="1"/>
      <c r="F28" s="133">
        <v>12</v>
      </c>
      <c r="G28" s="171">
        <v>0</v>
      </c>
      <c r="H28" s="170">
        <f t="shared" si="0"/>
        <v>0</v>
      </c>
      <c r="I28" s="16"/>
      <c r="J28" s="164"/>
      <c r="K28" s="164"/>
      <c r="L28" s="165"/>
      <c r="M28" s="80"/>
    </row>
    <row r="29" spans="2:13" x14ac:dyDescent="0.25">
      <c r="B29" s="132"/>
      <c r="C29" s="131"/>
      <c r="D29" s="3"/>
      <c r="E29" s="1"/>
      <c r="F29" s="133"/>
      <c r="G29" s="151"/>
      <c r="H29" s="146"/>
      <c r="I29" s="16"/>
      <c r="J29" s="164"/>
      <c r="K29" s="164"/>
      <c r="L29" s="165"/>
      <c r="M29" s="80"/>
    </row>
    <row r="30" spans="2:13" x14ac:dyDescent="0.25">
      <c r="B30" s="7"/>
      <c r="C30" s="2"/>
      <c r="D30" s="3"/>
      <c r="E30" s="1"/>
      <c r="F30" s="147"/>
      <c r="G30" s="151"/>
      <c r="H30" s="146"/>
      <c r="I30" s="16"/>
      <c r="J30" s="164"/>
      <c r="K30" s="164"/>
      <c r="L30" s="165"/>
      <c r="M30" s="80"/>
    </row>
    <row r="31" spans="2:13" ht="34.5" x14ac:dyDescent="0.25">
      <c r="B31" s="7" t="s">
        <v>242</v>
      </c>
      <c r="C31" s="2" t="s">
        <v>243</v>
      </c>
      <c r="D31" s="3"/>
      <c r="E31" s="1"/>
      <c r="F31" s="147"/>
      <c r="G31" s="151"/>
      <c r="H31" s="146"/>
      <c r="I31" s="16"/>
      <c r="J31" s="164"/>
      <c r="K31" s="164"/>
      <c r="L31" s="165"/>
      <c r="M31" s="80"/>
    </row>
    <row r="32" spans="2:13" x14ac:dyDescent="0.25">
      <c r="B32" s="7"/>
      <c r="C32" s="2"/>
      <c r="D32" s="3"/>
      <c r="E32" s="1"/>
      <c r="F32" s="147"/>
      <c r="G32" s="3"/>
      <c r="H32" s="146" t="str">
        <f t="shared" si="0"/>
        <v/>
      </c>
      <c r="I32" s="15"/>
      <c r="J32" s="164"/>
      <c r="K32" s="164"/>
      <c r="L32" s="165"/>
      <c r="M32" s="80"/>
    </row>
    <row r="33" spans="2:14" x14ac:dyDescent="0.25">
      <c r="B33" s="7" t="s">
        <v>204</v>
      </c>
      <c r="C33" s="2" t="s">
        <v>205</v>
      </c>
      <c r="D33" s="3" t="s">
        <v>14</v>
      </c>
      <c r="E33" s="1" t="s">
        <v>30</v>
      </c>
      <c r="F33" s="148">
        <f>((6000*5)*2)/10000</f>
        <v>6</v>
      </c>
      <c r="G33" s="171">
        <v>0</v>
      </c>
      <c r="H33" s="172">
        <f t="shared" si="0"/>
        <v>0</v>
      </c>
      <c r="I33" s="15"/>
      <c r="J33" s="164"/>
      <c r="K33" s="164"/>
      <c r="L33" s="165"/>
      <c r="M33" s="80"/>
    </row>
    <row r="34" spans="2:14" x14ac:dyDescent="0.25">
      <c r="B34" s="7"/>
      <c r="C34" s="2"/>
      <c r="D34" s="3"/>
      <c r="E34" s="1"/>
      <c r="F34" s="147"/>
      <c r="G34" s="137"/>
      <c r="H34" s="149" t="str">
        <f t="shared" si="0"/>
        <v/>
      </c>
      <c r="I34" s="17"/>
      <c r="J34" s="164"/>
      <c r="K34" s="164"/>
      <c r="L34" s="165"/>
      <c r="M34" s="80"/>
    </row>
    <row r="35" spans="2:14" x14ac:dyDescent="0.25">
      <c r="B35" s="9" t="s">
        <v>206</v>
      </c>
      <c r="C35" s="8" t="s">
        <v>207</v>
      </c>
      <c r="D35" s="129" t="s">
        <v>12</v>
      </c>
      <c r="E35" s="14"/>
      <c r="F35" s="147">
        <f>7.5*2</f>
        <v>15</v>
      </c>
      <c r="G35" s="171">
        <v>0</v>
      </c>
      <c r="H35" s="172">
        <f>IF(D35="","",F35*G35)</f>
        <v>0</v>
      </c>
      <c r="I35" s="18"/>
      <c r="J35" s="164"/>
      <c r="K35" s="164"/>
      <c r="L35" s="165"/>
      <c r="M35" s="80"/>
    </row>
    <row r="36" spans="2:14" x14ac:dyDescent="0.25">
      <c r="B36" s="7"/>
      <c r="C36" s="11"/>
      <c r="D36" s="129"/>
      <c r="E36" s="14"/>
      <c r="F36" s="147"/>
      <c r="G36" s="138"/>
      <c r="H36" s="150" t="str">
        <f>IF(D36="","",F36*G36)</f>
        <v/>
      </c>
      <c r="I36" s="18"/>
      <c r="J36" s="164"/>
      <c r="K36" s="164"/>
      <c r="L36" s="165"/>
      <c r="M36" s="80"/>
    </row>
    <row r="37" spans="2:14" x14ac:dyDescent="0.25">
      <c r="B37" s="7" t="s">
        <v>466</v>
      </c>
      <c r="C37" s="11" t="s">
        <v>467</v>
      </c>
      <c r="D37" s="129" t="s">
        <v>13</v>
      </c>
      <c r="E37" s="14"/>
      <c r="F37" s="147">
        <v>200</v>
      </c>
      <c r="G37" s="171">
        <v>0</v>
      </c>
      <c r="H37" s="170">
        <f>IF(D37="","",F37*G37)</f>
        <v>0</v>
      </c>
      <c r="I37" s="18"/>
      <c r="J37" s="164"/>
      <c r="K37" s="164"/>
      <c r="L37" s="165"/>
      <c r="M37" s="80"/>
    </row>
    <row r="38" spans="2:14" x14ac:dyDescent="0.25">
      <c r="B38" s="7"/>
      <c r="C38" s="11"/>
      <c r="D38" s="129"/>
      <c r="E38" s="14"/>
      <c r="F38" s="133"/>
      <c r="G38" s="138"/>
      <c r="H38" s="146"/>
      <c r="I38" s="18"/>
      <c r="J38" s="164"/>
      <c r="K38" s="164"/>
      <c r="L38" s="165"/>
      <c r="M38" s="80"/>
    </row>
    <row r="39" spans="2:14" ht="23" x14ac:dyDescent="0.25">
      <c r="B39" s="7" t="s">
        <v>468</v>
      </c>
      <c r="C39" s="8" t="s">
        <v>469</v>
      </c>
      <c r="D39" s="129" t="s">
        <v>12</v>
      </c>
      <c r="E39" s="14"/>
      <c r="F39" s="133">
        <f>7.5*2</f>
        <v>15</v>
      </c>
      <c r="G39" s="171">
        <v>0</v>
      </c>
      <c r="H39" s="170">
        <f>IF(D39="","",F39*G39)</f>
        <v>0</v>
      </c>
      <c r="I39" s="18"/>
      <c r="J39" s="164"/>
      <c r="K39" s="164"/>
      <c r="L39" s="165"/>
      <c r="M39" s="80"/>
    </row>
    <row r="40" spans="2:14" x14ac:dyDescent="0.25">
      <c r="B40" s="7"/>
      <c r="C40" s="11"/>
      <c r="D40" s="129"/>
      <c r="E40" s="14"/>
      <c r="F40" s="133"/>
      <c r="G40" s="138"/>
      <c r="H40" s="146"/>
      <c r="I40" s="18"/>
      <c r="J40" s="164"/>
      <c r="K40" s="164"/>
      <c r="L40" s="165"/>
      <c r="M40" s="80"/>
    </row>
    <row r="41" spans="2:14" ht="23" x14ac:dyDescent="0.25">
      <c r="B41" s="7" t="s">
        <v>470</v>
      </c>
      <c r="C41" s="8" t="s">
        <v>471</v>
      </c>
      <c r="D41" s="129" t="s">
        <v>84</v>
      </c>
      <c r="E41" s="14"/>
      <c r="F41" s="133">
        <f>40*40</f>
        <v>1600</v>
      </c>
      <c r="G41" s="171">
        <v>0</v>
      </c>
      <c r="H41" s="170">
        <f>IF(D41="","",F41*G41)</f>
        <v>0</v>
      </c>
      <c r="I41" s="18"/>
      <c r="J41" s="164"/>
      <c r="K41" s="164"/>
      <c r="L41" s="165"/>
      <c r="M41" s="80"/>
    </row>
    <row r="42" spans="2:14" x14ac:dyDescent="0.25">
      <c r="B42" s="7"/>
      <c r="C42" s="11"/>
      <c r="D42" s="129"/>
      <c r="E42" s="14"/>
      <c r="F42" s="133"/>
      <c r="G42" s="138"/>
      <c r="H42" s="146" t="str">
        <f>IF(D42="","",F42*G42)</f>
        <v/>
      </c>
      <c r="I42" s="18"/>
      <c r="J42" s="164"/>
      <c r="K42" s="164"/>
      <c r="L42" s="165"/>
      <c r="M42" s="80"/>
    </row>
    <row r="43" spans="2:14" x14ac:dyDescent="0.25">
      <c r="B43" s="7" t="s">
        <v>208</v>
      </c>
      <c r="C43" s="2" t="s">
        <v>209</v>
      </c>
      <c r="D43" s="3" t="s">
        <v>210</v>
      </c>
      <c r="E43" s="1"/>
      <c r="F43" s="175">
        <v>500000</v>
      </c>
      <c r="G43" s="169">
        <v>1</v>
      </c>
      <c r="H43" s="172">
        <f t="shared" si="0"/>
        <v>500000</v>
      </c>
      <c r="I43" s="15"/>
      <c r="J43" s="164"/>
      <c r="K43" s="164"/>
      <c r="L43" s="165"/>
      <c r="M43" s="80"/>
    </row>
    <row r="44" spans="2:14" x14ac:dyDescent="0.25">
      <c r="B44" s="7"/>
      <c r="C44" s="2"/>
      <c r="D44" s="3"/>
      <c r="E44" s="1"/>
      <c r="F44" s="133"/>
      <c r="G44" s="3"/>
      <c r="H44" s="149" t="str">
        <f t="shared" si="0"/>
        <v/>
      </c>
      <c r="I44" s="15"/>
      <c r="J44" s="164"/>
      <c r="K44" s="164"/>
      <c r="L44" s="165"/>
      <c r="M44" s="80"/>
    </row>
    <row r="45" spans="2:14" ht="23" x14ac:dyDescent="0.25">
      <c r="B45" s="9" t="s">
        <v>211</v>
      </c>
      <c r="C45" s="2" t="s">
        <v>567</v>
      </c>
      <c r="D45" s="3" t="s">
        <v>6</v>
      </c>
      <c r="E45" s="1"/>
      <c r="F45" s="177">
        <f>H43</f>
        <v>500000</v>
      </c>
      <c r="G45" s="168">
        <v>0</v>
      </c>
      <c r="H45" s="170">
        <f t="shared" si="0"/>
        <v>0</v>
      </c>
      <c r="I45" s="16"/>
      <c r="J45" s="164"/>
      <c r="K45" s="164"/>
      <c r="L45" s="165"/>
      <c r="M45" s="80"/>
    </row>
    <row r="46" spans="2:14" x14ac:dyDescent="0.25">
      <c r="B46" s="9"/>
      <c r="C46" s="2"/>
      <c r="D46" s="3"/>
      <c r="E46" s="1"/>
      <c r="F46" s="133"/>
      <c r="G46" s="152"/>
      <c r="H46" s="146"/>
      <c r="I46" s="16"/>
      <c r="J46" s="164"/>
      <c r="K46" s="164"/>
      <c r="L46" s="165"/>
      <c r="M46" s="80"/>
    </row>
    <row r="47" spans="2:14" x14ac:dyDescent="0.25">
      <c r="B47" s="7"/>
      <c r="C47" s="2"/>
      <c r="D47" s="3"/>
      <c r="E47" s="1"/>
      <c r="F47" s="133"/>
      <c r="G47" s="151"/>
      <c r="H47" s="149" t="str">
        <f t="shared" si="0"/>
        <v/>
      </c>
      <c r="I47" s="15"/>
      <c r="J47" s="164"/>
      <c r="K47" s="164"/>
      <c r="L47" s="165"/>
      <c r="M47" s="80"/>
    </row>
    <row r="48" spans="2:14" x14ac:dyDescent="0.25">
      <c r="B48" s="7" t="s">
        <v>212</v>
      </c>
      <c r="C48" s="2" t="s">
        <v>213</v>
      </c>
      <c r="D48" s="3" t="s">
        <v>8</v>
      </c>
      <c r="E48" s="1"/>
      <c r="F48" s="3">
        <v>12</v>
      </c>
      <c r="G48" s="171">
        <v>0</v>
      </c>
      <c r="H48" s="172">
        <f t="shared" si="0"/>
        <v>0</v>
      </c>
      <c r="I48" s="15"/>
      <c r="J48" s="164"/>
      <c r="K48" s="164"/>
      <c r="L48" s="165"/>
      <c r="M48" s="80"/>
      <c r="N48" s="26"/>
    </row>
    <row r="49" spans="2:14" x14ac:dyDescent="0.25">
      <c r="B49" s="7"/>
      <c r="C49" s="2"/>
      <c r="D49" s="3"/>
      <c r="E49" s="1"/>
      <c r="F49" s="3"/>
      <c r="G49" s="151"/>
      <c r="H49" s="149"/>
      <c r="I49" s="15"/>
      <c r="J49" s="164"/>
      <c r="K49" s="164"/>
      <c r="L49" s="165"/>
      <c r="M49" s="80"/>
      <c r="N49" s="26"/>
    </row>
    <row r="50" spans="2:14" x14ac:dyDescent="0.25">
      <c r="B50" s="7"/>
      <c r="C50" s="2"/>
      <c r="D50" s="3"/>
      <c r="E50" s="1"/>
      <c r="F50" s="133"/>
      <c r="G50" s="153"/>
      <c r="H50" s="149" t="str">
        <f t="shared" si="0"/>
        <v/>
      </c>
      <c r="I50" s="15"/>
      <c r="J50" s="164"/>
      <c r="K50" s="164"/>
      <c r="L50" s="165"/>
      <c r="M50" s="80"/>
      <c r="N50" s="26"/>
    </row>
    <row r="51" spans="2:14" x14ac:dyDescent="0.25">
      <c r="B51" s="7" t="s">
        <v>214</v>
      </c>
      <c r="C51" s="2" t="s">
        <v>215</v>
      </c>
      <c r="D51" s="3"/>
      <c r="E51" s="1"/>
      <c r="F51" s="133"/>
      <c r="G51" s="153"/>
      <c r="H51" s="146" t="str">
        <f t="shared" si="0"/>
        <v/>
      </c>
      <c r="I51" s="16"/>
      <c r="J51" s="164"/>
      <c r="K51" s="164"/>
      <c r="L51" s="165"/>
      <c r="M51" s="80"/>
      <c r="N51" s="26"/>
    </row>
    <row r="52" spans="2:14" x14ac:dyDescent="0.25">
      <c r="B52" s="7"/>
      <c r="C52" s="2"/>
      <c r="D52" s="3"/>
      <c r="E52" s="1"/>
      <c r="F52" s="133"/>
      <c r="G52" s="153"/>
      <c r="H52" s="146" t="str">
        <f t="shared" si="0"/>
        <v/>
      </c>
      <c r="I52" s="15"/>
      <c r="J52" s="164"/>
      <c r="K52" s="164"/>
      <c r="L52" s="165"/>
      <c r="M52" s="80"/>
      <c r="N52" s="26"/>
    </row>
    <row r="53" spans="2:14" x14ac:dyDescent="0.25">
      <c r="B53" s="7" t="s">
        <v>216</v>
      </c>
      <c r="C53" s="2" t="s">
        <v>217</v>
      </c>
      <c r="D53" s="3" t="s">
        <v>472</v>
      </c>
      <c r="E53" s="1"/>
      <c r="F53" s="133">
        <v>1</v>
      </c>
      <c r="G53" s="171">
        <v>0</v>
      </c>
      <c r="H53" s="173">
        <f t="shared" si="0"/>
        <v>0</v>
      </c>
      <c r="I53" s="15"/>
      <c r="J53" s="164"/>
      <c r="K53" s="164"/>
      <c r="L53" s="165"/>
      <c r="M53" s="80"/>
    </row>
    <row r="54" spans="2:14" x14ac:dyDescent="0.25">
      <c r="B54" s="7"/>
      <c r="C54" s="2"/>
      <c r="D54" s="3"/>
      <c r="E54" s="1"/>
      <c r="F54" s="133"/>
      <c r="G54" s="137"/>
      <c r="H54" s="157" t="str">
        <f t="shared" si="0"/>
        <v/>
      </c>
      <c r="I54" s="15"/>
      <c r="J54" s="164"/>
      <c r="K54" s="164"/>
      <c r="L54" s="165"/>
      <c r="M54" s="80"/>
    </row>
    <row r="55" spans="2:14" x14ac:dyDescent="0.25">
      <c r="B55" s="7" t="s">
        <v>218</v>
      </c>
      <c r="C55" s="2" t="s">
        <v>219</v>
      </c>
      <c r="D55" s="3" t="s">
        <v>197</v>
      </c>
      <c r="E55" s="1"/>
      <c r="F55" s="133">
        <v>12</v>
      </c>
      <c r="G55" s="171">
        <v>0</v>
      </c>
      <c r="H55" s="173">
        <f>IF(D55="","",F55*G55)</f>
        <v>0</v>
      </c>
      <c r="I55" s="15"/>
      <c r="J55" s="164"/>
      <c r="K55" s="164"/>
      <c r="L55" s="165"/>
      <c r="M55" s="80"/>
    </row>
    <row r="56" spans="2:14" x14ac:dyDescent="0.25">
      <c r="B56" s="7"/>
      <c r="C56" s="2"/>
      <c r="D56" s="3"/>
      <c r="E56" s="1"/>
      <c r="F56" s="133"/>
      <c r="G56" s="154"/>
      <c r="H56" s="146"/>
      <c r="I56" s="15"/>
      <c r="J56" s="164"/>
      <c r="K56" s="164"/>
      <c r="L56" s="165"/>
      <c r="M56" s="80"/>
    </row>
    <row r="57" spans="2:14" x14ac:dyDescent="0.25">
      <c r="B57" s="7"/>
      <c r="C57" s="2"/>
      <c r="D57" s="3"/>
      <c r="E57" s="1"/>
      <c r="F57" s="133"/>
      <c r="G57" s="153"/>
      <c r="H57" s="146" t="str">
        <f>IF(D57="","",F57*G57)</f>
        <v/>
      </c>
      <c r="I57" s="15"/>
      <c r="J57" s="164"/>
      <c r="K57" s="164"/>
      <c r="L57" s="165"/>
      <c r="M57" s="80"/>
    </row>
    <row r="58" spans="2:14" x14ac:dyDescent="0.25">
      <c r="B58" s="7" t="s">
        <v>220</v>
      </c>
      <c r="C58" s="2" t="s">
        <v>221</v>
      </c>
      <c r="D58" s="3"/>
      <c r="E58" s="1"/>
      <c r="F58" s="133"/>
      <c r="G58" s="153"/>
      <c r="H58" s="146"/>
      <c r="I58" s="15"/>
      <c r="J58" s="164"/>
      <c r="K58" s="164"/>
      <c r="L58" s="165"/>
      <c r="M58" s="80"/>
    </row>
    <row r="59" spans="2:14" x14ac:dyDescent="0.25">
      <c r="B59" s="7"/>
      <c r="C59" s="2"/>
      <c r="D59" s="3"/>
      <c r="E59" s="1"/>
      <c r="F59" s="133"/>
      <c r="G59" s="153"/>
      <c r="H59" s="146"/>
      <c r="I59" s="15"/>
      <c r="J59" s="164"/>
      <c r="K59" s="164"/>
      <c r="L59" s="165"/>
      <c r="M59" s="80"/>
    </row>
    <row r="60" spans="2:14" x14ac:dyDescent="0.25">
      <c r="B60" s="7" t="s">
        <v>222</v>
      </c>
      <c r="C60" s="2" t="s">
        <v>223</v>
      </c>
      <c r="D60" s="3" t="s">
        <v>10</v>
      </c>
      <c r="E60" s="1"/>
      <c r="F60" s="133">
        <v>50</v>
      </c>
      <c r="G60" s="171">
        <v>0</v>
      </c>
      <c r="H60" s="173">
        <f>IF(D60="","",F60*G60)</f>
        <v>0</v>
      </c>
      <c r="I60" s="15"/>
      <c r="J60" s="164"/>
      <c r="K60" s="164"/>
      <c r="L60" s="165"/>
      <c r="M60" s="80"/>
    </row>
    <row r="61" spans="2:14" x14ac:dyDescent="0.25">
      <c r="B61" s="7"/>
      <c r="C61" s="2"/>
      <c r="D61" s="3"/>
      <c r="E61" s="1"/>
      <c r="F61" s="133"/>
      <c r="G61" s="137"/>
      <c r="H61" s="157"/>
      <c r="I61" s="15"/>
      <c r="J61" s="164"/>
      <c r="K61" s="164"/>
      <c r="L61" s="165"/>
      <c r="M61" s="80"/>
    </row>
    <row r="62" spans="2:14" x14ac:dyDescent="0.25">
      <c r="B62" s="7" t="s">
        <v>224</v>
      </c>
      <c r="C62" s="2" t="s">
        <v>225</v>
      </c>
      <c r="D62" s="3" t="s">
        <v>210</v>
      </c>
      <c r="E62" s="1"/>
      <c r="F62" s="175">
        <v>500000</v>
      </c>
      <c r="G62" s="169">
        <v>1</v>
      </c>
      <c r="H62" s="173">
        <f t="shared" ref="H62:H69" si="1">IF(D62="","",F62*G62)</f>
        <v>500000</v>
      </c>
      <c r="I62" s="15"/>
      <c r="J62" s="164"/>
      <c r="K62" s="164"/>
      <c r="L62" s="165"/>
      <c r="M62" s="80"/>
    </row>
    <row r="63" spans="2:14" x14ac:dyDescent="0.25">
      <c r="B63" s="7"/>
      <c r="C63" s="2"/>
      <c r="D63" s="3"/>
      <c r="E63" s="1"/>
      <c r="F63" s="3"/>
      <c r="G63" s="151"/>
      <c r="H63" s="149" t="str">
        <f t="shared" si="1"/>
        <v/>
      </c>
      <c r="I63" s="15"/>
      <c r="J63" s="164"/>
      <c r="K63" s="164"/>
      <c r="L63" s="165"/>
      <c r="M63" s="80"/>
    </row>
    <row r="64" spans="2:14" x14ac:dyDescent="0.25">
      <c r="B64" s="7" t="s">
        <v>226</v>
      </c>
      <c r="C64" s="2" t="s">
        <v>227</v>
      </c>
      <c r="D64" s="135" t="s">
        <v>6</v>
      </c>
      <c r="E64" s="14"/>
      <c r="F64" s="176">
        <f>H62</f>
        <v>500000</v>
      </c>
      <c r="G64" s="168">
        <v>0</v>
      </c>
      <c r="H64" s="170">
        <f t="shared" si="1"/>
        <v>0</v>
      </c>
      <c r="I64" s="18"/>
      <c r="J64" s="164"/>
      <c r="K64" s="164"/>
      <c r="L64" s="165"/>
      <c r="M64" s="80"/>
    </row>
    <row r="65" spans="2:13" x14ac:dyDescent="0.25">
      <c r="B65" s="7"/>
      <c r="C65" s="2"/>
      <c r="D65" s="135"/>
      <c r="E65" s="14"/>
      <c r="F65" s="134"/>
      <c r="G65" s="152"/>
      <c r="H65" s="146" t="str">
        <f t="shared" si="1"/>
        <v/>
      </c>
      <c r="I65" s="18"/>
      <c r="J65" s="164"/>
      <c r="K65" s="164"/>
      <c r="L65" s="165"/>
      <c r="M65" s="80"/>
    </row>
    <row r="66" spans="2:13" x14ac:dyDescent="0.25">
      <c r="B66" s="7"/>
      <c r="C66" s="2"/>
      <c r="D66" s="3"/>
      <c r="E66" s="1"/>
      <c r="F66" s="3"/>
      <c r="G66" s="151"/>
      <c r="H66" s="146" t="str">
        <f t="shared" si="1"/>
        <v/>
      </c>
      <c r="I66" s="15"/>
      <c r="J66" s="164"/>
      <c r="K66" s="164"/>
      <c r="L66" s="165"/>
      <c r="M66" s="80"/>
    </row>
    <row r="67" spans="2:13" x14ac:dyDescent="0.25">
      <c r="B67" s="7" t="s">
        <v>228</v>
      </c>
      <c r="C67" s="11" t="s">
        <v>229</v>
      </c>
      <c r="D67" s="129"/>
      <c r="E67" s="14"/>
      <c r="F67" s="129"/>
      <c r="G67" s="151"/>
      <c r="H67" s="146" t="str">
        <f t="shared" si="1"/>
        <v/>
      </c>
      <c r="I67" s="19"/>
      <c r="J67" s="164"/>
      <c r="K67" s="164"/>
      <c r="L67" s="165"/>
      <c r="M67" s="80"/>
    </row>
    <row r="68" spans="2:13" x14ac:dyDescent="0.25">
      <c r="B68" s="7"/>
      <c r="C68" s="11"/>
      <c r="D68" s="129"/>
      <c r="E68" s="14"/>
      <c r="F68" s="129"/>
      <c r="G68" s="151"/>
      <c r="H68" s="146" t="str">
        <f t="shared" si="1"/>
        <v/>
      </c>
      <c r="I68" s="18"/>
      <c r="J68" s="164"/>
      <c r="K68" s="164"/>
      <c r="L68" s="165"/>
      <c r="M68" s="80"/>
    </row>
    <row r="69" spans="2:13" x14ac:dyDescent="0.25">
      <c r="B69" s="7" t="s">
        <v>230</v>
      </c>
      <c r="C69" s="2" t="s">
        <v>231</v>
      </c>
      <c r="D69" s="3" t="s">
        <v>38</v>
      </c>
      <c r="E69" s="1"/>
      <c r="F69" s="3">
        <v>1</v>
      </c>
      <c r="G69" s="171">
        <v>0</v>
      </c>
      <c r="H69" s="172">
        <f t="shared" si="1"/>
        <v>0</v>
      </c>
      <c r="I69" s="15"/>
      <c r="J69" s="164"/>
      <c r="K69" s="164"/>
      <c r="L69" s="165"/>
      <c r="M69" s="80"/>
    </row>
    <row r="70" spans="2:13" x14ac:dyDescent="0.25">
      <c r="B70" s="7"/>
      <c r="C70" s="2"/>
      <c r="D70" s="3"/>
      <c r="E70" s="1"/>
      <c r="F70" s="3"/>
      <c r="G70" s="151"/>
      <c r="H70" s="149" t="str">
        <f t="shared" si="0"/>
        <v/>
      </c>
      <c r="I70" s="15"/>
      <c r="J70" s="164"/>
      <c r="K70" s="164"/>
      <c r="L70" s="165"/>
      <c r="M70" s="80"/>
    </row>
    <row r="71" spans="2:13" x14ac:dyDescent="0.25">
      <c r="B71" s="7"/>
      <c r="C71" s="2" t="s">
        <v>473</v>
      </c>
      <c r="D71" s="3" t="s">
        <v>38</v>
      </c>
      <c r="E71" s="1"/>
      <c r="F71" s="3">
        <v>1</v>
      </c>
      <c r="G71" s="171">
        <v>0</v>
      </c>
      <c r="H71" s="172">
        <f t="shared" si="0"/>
        <v>0</v>
      </c>
      <c r="I71" s="15"/>
      <c r="J71" s="164"/>
      <c r="K71" s="164"/>
      <c r="L71" s="165"/>
      <c r="M71" s="80"/>
    </row>
    <row r="72" spans="2:13" x14ac:dyDescent="0.25">
      <c r="B72" s="7"/>
      <c r="C72" s="136"/>
      <c r="D72" s="3"/>
      <c r="E72" s="1"/>
      <c r="F72" s="3"/>
      <c r="G72" s="151"/>
      <c r="H72" s="149"/>
      <c r="I72" s="15"/>
      <c r="J72" s="164"/>
      <c r="K72" s="164"/>
      <c r="L72" s="165"/>
      <c r="M72" s="80"/>
    </row>
    <row r="73" spans="2:13" x14ac:dyDescent="0.25">
      <c r="B73" s="7"/>
      <c r="C73" s="2" t="s">
        <v>474</v>
      </c>
      <c r="D73" s="3" t="s">
        <v>38</v>
      </c>
      <c r="E73" s="1"/>
      <c r="F73" s="3">
        <v>1</v>
      </c>
      <c r="G73" s="171">
        <v>0</v>
      </c>
      <c r="H73" s="172">
        <f t="shared" ref="H73" si="2">IF(D73="","",F73*G73)</f>
        <v>0</v>
      </c>
      <c r="I73" s="15"/>
      <c r="J73" s="164"/>
      <c r="K73" s="164"/>
      <c r="L73" s="165"/>
      <c r="M73" s="80"/>
    </row>
    <row r="74" spans="2:13" x14ac:dyDescent="0.25">
      <c r="B74" s="7"/>
      <c r="C74" s="2"/>
      <c r="D74" s="3"/>
      <c r="E74" s="1"/>
      <c r="F74" s="3"/>
      <c r="G74" s="151"/>
      <c r="H74" s="149"/>
      <c r="I74" s="15"/>
      <c r="J74" s="164"/>
      <c r="K74" s="164"/>
      <c r="L74" s="165"/>
      <c r="M74" s="80"/>
    </row>
    <row r="75" spans="2:13" x14ac:dyDescent="0.25">
      <c r="B75" s="7"/>
      <c r="C75" s="2" t="s">
        <v>475</v>
      </c>
      <c r="D75" s="3" t="s">
        <v>38</v>
      </c>
      <c r="E75" s="1"/>
      <c r="F75" s="3">
        <v>1</v>
      </c>
      <c r="G75" s="171">
        <v>0</v>
      </c>
      <c r="H75" s="172">
        <f t="shared" ref="H75" si="3">IF(D75="","",F75*G75)</f>
        <v>0</v>
      </c>
      <c r="I75" s="15"/>
      <c r="J75" s="164"/>
      <c r="K75" s="164"/>
      <c r="L75" s="165"/>
      <c r="M75" s="80"/>
    </row>
    <row r="76" spans="2:13" x14ac:dyDescent="0.25">
      <c r="B76" s="7"/>
      <c r="C76" s="2"/>
      <c r="D76" s="3"/>
      <c r="E76" s="1"/>
      <c r="F76" s="3"/>
      <c r="G76" s="151"/>
      <c r="H76" s="149"/>
      <c r="I76" s="15"/>
      <c r="J76" s="164"/>
      <c r="K76" s="164"/>
      <c r="L76" s="165"/>
      <c r="M76" s="80"/>
    </row>
    <row r="77" spans="2:13" x14ac:dyDescent="0.25">
      <c r="B77" s="7"/>
      <c r="C77" s="2" t="s">
        <v>476</v>
      </c>
      <c r="D77" s="3" t="s">
        <v>38</v>
      </c>
      <c r="E77" s="1"/>
      <c r="F77" s="3">
        <v>1</v>
      </c>
      <c r="G77" s="171">
        <v>0</v>
      </c>
      <c r="H77" s="172">
        <f t="shared" ref="H77" si="4">IF(D77="","",F77*G77)</f>
        <v>0</v>
      </c>
      <c r="I77" s="15"/>
      <c r="J77" s="164"/>
      <c r="K77" s="164"/>
      <c r="L77" s="165"/>
      <c r="M77" s="80"/>
    </row>
    <row r="78" spans="2:13" x14ac:dyDescent="0.25">
      <c r="B78" s="7"/>
      <c r="C78" s="2"/>
      <c r="D78" s="3"/>
      <c r="E78" s="1"/>
      <c r="F78" s="3"/>
      <c r="G78" s="151"/>
      <c r="H78" s="149"/>
      <c r="I78" s="15"/>
      <c r="J78" s="164"/>
      <c r="K78" s="164"/>
      <c r="L78" s="165"/>
      <c r="M78" s="80"/>
    </row>
    <row r="79" spans="2:13" x14ac:dyDescent="0.25">
      <c r="B79" s="7"/>
      <c r="C79" s="2" t="s">
        <v>477</v>
      </c>
      <c r="D79" s="3" t="s">
        <v>38</v>
      </c>
      <c r="E79" s="1"/>
      <c r="F79" s="3">
        <v>1</v>
      </c>
      <c r="G79" s="171">
        <v>0</v>
      </c>
      <c r="H79" s="172">
        <f t="shared" ref="H79" si="5">IF(D79="","",F79*G79)</f>
        <v>0</v>
      </c>
      <c r="I79" s="15"/>
      <c r="J79" s="164"/>
      <c r="K79" s="164"/>
      <c r="L79" s="165"/>
      <c r="M79" s="80"/>
    </row>
    <row r="80" spans="2:13" x14ac:dyDescent="0.25">
      <c r="B80" s="7"/>
      <c r="C80" s="2"/>
      <c r="D80" s="3"/>
      <c r="E80" s="1"/>
      <c r="F80" s="3"/>
      <c r="G80" s="151"/>
      <c r="H80" s="149"/>
      <c r="I80" s="15"/>
      <c r="J80" s="164"/>
      <c r="K80" s="164"/>
      <c r="L80" s="165"/>
      <c r="M80" s="80"/>
    </row>
    <row r="81" spans="2:13" x14ac:dyDescent="0.25">
      <c r="B81" s="7"/>
      <c r="C81" s="2"/>
      <c r="D81" s="3"/>
      <c r="E81" s="1"/>
      <c r="F81" s="3"/>
      <c r="G81" s="151"/>
      <c r="H81" s="149" t="str">
        <f t="shared" si="0"/>
        <v/>
      </c>
      <c r="I81" s="15"/>
      <c r="J81" s="164"/>
      <c r="K81" s="164"/>
      <c r="L81" s="165"/>
      <c r="M81" s="80"/>
    </row>
    <row r="82" spans="2:13" x14ac:dyDescent="0.25">
      <c r="B82" s="7" t="s">
        <v>253</v>
      </c>
      <c r="C82" s="2" t="s">
        <v>254</v>
      </c>
      <c r="D82" s="3"/>
      <c r="E82" s="1"/>
      <c r="F82" s="3"/>
      <c r="G82" s="151"/>
      <c r="H82" s="149" t="str">
        <f t="shared" si="0"/>
        <v/>
      </c>
      <c r="I82" s="15"/>
      <c r="J82" s="164"/>
      <c r="K82" s="164"/>
      <c r="L82" s="165"/>
      <c r="M82" s="80"/>
    </row>
    <row r="83" spans="2:13" x14ac:dyDescent="0.25">
      <c r="B83" s="7"/>
      <c r="C83" s="2"/>
      <c r="D83" s="3"/>
      <c r="E83" s="1"/>
      <c r="F83" s="3"/>
      <c r="G83" s="151"/>
      <c r="H83" s="149" t="str">
        <f t="shared" si="0"/>
        <v/>
      </c>
      <c r="I83" s="15"/>
      <c r="J83" s="164"/>
      <c r="K83" s="164"/>
      <c r="L83" s="165"/>
      <c r="M83" s="80"/>
    </row>
    <row r="84" spans="2:13" x14ac:dyDescent="0.25">
      <c r="B84" s="7"/>
      <c r="C84" s="2" t="s">
        <v>562</v>
      </c>
      <c r="D84" s="3" t="s">
        <v>38</v>
      </c>
      <c r="E84" s="1"/>
      <c r="F84" s="3">
        <v>1</v>
      </c>
      <c r="G84" s="171">
        <v>0</v>
      </c>
      <c r="H84" s="172">
        <f t="shared" si="0"/>
        <v>0</v>
      </c>
      <c r="I84" s="15"/>
      <c r="J84" s="164"/>
      <c r="K84" s="164"/>
      <c r="L84" s="165"/>
      <c r="M84" s="80"/>
    </row>
    <row r="85" spans="2:13" x14ac:dyDescent="0.25">
      <c r="B85" s="7"/>
      <c r="C85" s="2"/>
      <c r="D85" s="3"/>
      <c r="E85" s="1"/>
      <c r="F85" s="3"/>
      <c r="G85" s="151"/>
      <c r="H85" s="149" t="str">
        <f t="shared" si="0"/>
        <v/>
      </c>
      <c r="I85" s="15"/>
      <c r="J85" s="164"/>
      <c r="K85" s="164"/>
      <c r="L85" s="165"/>
      <c r="M85" s="80"/>
    </row>
    <row r="86" spans="2:13" x14ac:dyDescent="0.25">
      <c r="B86" s="7"/>
      <c r="C86" s="2" t="s">
        <v>563</v>
      </c>
      <c r="D86" s="3" t="s">
        <v>38</v>
      </c>
      <c r="E86" s="1"/>
      <c r="F86" s="3">
        <v>1</v>
      </c>
      <c r="G86" s="171">
        <v>0</v>
      </c>
      <c r="H86" s="172">
        <f t="shared" si="0"/>
        <v>0</v>
      </c>
      <c r="I86" s="15"/>
      <c r="J86" s="164"/>
      <c r="K86" s="164"/>
      <c r="L86" s="165"/>
      <c r="M86" s="80"/>
    </row>
    <row r="87" spans="2:13" x14ac:dyDescent="0.25">
      <c r="B87" s="7"/>
      <c r="C87" s="2"/>
      <c r="D87" s="3"/>
      <c r="E87" s="1"/>
      <c r="F87" s="3"/>
      <c r="G87" s="151"/>
      <c r="H87" s="149" t="str">
        <f t="shared" si="0"/>
        <v/>
      </c>
      <c r="I87" s="15"/>
      <c r="J87" s="164"/>
      <c r="K87" s="164"/>
      <c r="L87" s="165"/>
      <c r="M87" s="80"/>
    </row>
    <row r="88" spans="2:13" x14ac:dyDescent="0.25">
      <c r="B88" s="7"/>
      <c r="C88" s="2" t="s">
        <v>564</v>
      </c>
      <c r="D88" s="3" t="s">
        <v>38</v>
      </c>
      <c r="E88" s="1"/>
      <c r="F88" s="3">
        <v>1</v>
      </c>
      <c r="G88" s="171">
        <v>0</v>
      </c>
      <c r="H88" s="172">
        <f t="shared" si="0"/>
        <v>0</v>
      </c>
      <c r="I88" s="15"/>
      <c r="J88" s="164"/>
      <c r="K88" s="164"/>
      <c r="L88" s="165"/>
      <c r="M88" s="80"/>
    </row>
    <row r="89" spans="2:13" x14ac:dyDescent="0.25">
      <c r="B89" s="7"/>
      <c r="C89" s="2"/>
      <c r="D89" s="3"/>
      <c r="E89" s="1"/>
      <c r="F89" s="3"/>
      <c r="G89" s="151"/>
      <c r="H89" s="149"/>
      <c r="I89" s="15"/>
      <c r="J89" s="164"/>
      <c r="K89" s="164"/>
      <c r="L89" s="165"/>
      <c r="M89" s="80"/>
    </row>
    <row r="90" spans="2:13" x14ac:dyDescent="0.25">
      <c r="B90" s="7"/>
      <c r="C90" s="2" t="s">
        <v>478</v>
      </c>
      <c r="D90" s="3" t="s">
        <v>38</v>
      </c>
      <c r="E90" s="1"/>
      <c r="F90" s="3">
        <v>1</v>
      </c>
      <c r="G90" s="171">
        <v>0</v>
      </c>
      <c r="H90" s="172">
        <f t="shared" si="0"/>
        <v>0</v>
      </c>
      <c r="I90" s="15"/>
      <c r="J90" s="164"/>
      <c r="K90" s="164"/>
      <c r="L90" s="165"/>
      <c r="M90" s="80"/>
    </row>
    <row r="91" spans="2:13" x14ac:dyDescent="0.25">
      <c r="B91" s="7"/>
      <c r="C91" s="2"/>
      <c r="D91" s="3"/>
      <c r="E91" s="1"/>
      <c r="F91" s="3"/>
      <c r="G91" s="151"/>
      <c r="H91" s="149"/>
      <c r="I91" s="15"/>
      <c r="J91" s="164"/>
      <c r="K91" s="164"/>
      <c r="L91" s="165"/>
      <c r="M91" s="80"/>
    </row>
    <row r="92" spans="2:13" x14ac:dyDescent="0.25">
      <c r="B92" s="7"/>
      <c r="C92" s="2" t="s">
        <v>479</v>
      </c>
      <c r="D92" s="3" t="s">
        <v>38</v>
      </c>
      <c r="E92" s="1"/>
      <c r="F92" s="3">
        <v>1</v>
      </c>
      <c r="G92" s="171">
        <v>0</v>
      </c>
      <c r="H92" s="172">
        <f t="shared" si="0"/>
        <v>0</v>
      </c>
      <c r="I92" s="15"/>
      <c r="J92" s="164"/>
      <c r="K92" s="164"/>
      <c r="L92" s="165"/>
      <c r="M92" s="80"/>
    </row>
    <row r="93" spans="2:13" x14ac:dyDescent="0.25">
      <c r="B93" s="7"/>
      <c r="C93" s="2"/>
      <c r="D93" s="3"/>
      <c r="E93" s="1"/>
      <c r="F93" s="3"/>
      <c r="G93" s="151"/>
      <c r="H93" s="149"/>
      <c r="I93" s="15"/>
      <c r="J93" s="164"/>
      <c r="K93" s="164"/>
      <c r="L93" s="165"/>
      <c r="M93" s="80"/>
    </row>
    <row r="94" spans="2:13" x14ac:dyDescent="0.25">
      <c r="B94" s="7"/>
      <c r="C94" s="2" t="s">
        <v>480</v>
      </c>
      <c r="D94" s="3" t="s">
        <v>38</v>
      </c>
      <c r="E94" s="1"/>
      <c r="F94" s="3">
        <v>1</v>
      </c>
      <c r="G94" s="171">
        <v>0</v>
      </c>
      <c r="H94" s="172">
        <f t="shared" si="0"/>
        <v>0</v>
      </c>
      <c r="I94" s="15"/>
      <c r="J94" s="164"/>
      <c r="K94" s="164"/>
      <c r="L94" s="165"/>
      <c r="M94" s="80"/>
    </row>
    <row r="95" spans="2:13" x14ac:dyDescent="0.25">
      <c r="B95" s="7"/>
      <c r="C95" s="2"/>
      <c r="D95" s="3"/>
      <c r="E95" s="1"/>
      <c r="F95" s="3"/>
      <c r="G95" s="151"/>
      <c r="H95" s="149"/>
      <c r="I95" s="15"/>
      <c r="J95" s="164"/>
      <c r="K95" s="164"/>
      <c r="L95" s="165"/>
      <c r="M95" s="80"/>
    </row>
    <row r="96" spans="2:13" x14ac:dyDescent="0.25">
      <c r="B96" s="7"/>
      <c r="C96" s="2" t="s">
        <v>485</v>
      </c>
      <c r="D96" s="3"/>
      <c r="E96" s="1"/>
      <c r="F96" s="3"/>
      <c r="G96" s="151"/>
      <c r="H96" s="149" t="str">
        <f t="shared" si="0"/>
        <v/>
      </c>
      <c r="I96" s="15"/>
      <c r="J96" s="164"/>
      <c r="K96" s="164"/>
      <c r="L96" s="165"/>
      <c r="M96" s="80"/>
    </row>
    <row r="97" spans="2:13" x14ac:dyDescent="0.25">
      <c r="B97" s="7"/>
      <c r="C97" s="2"/>
      <c r="D97" s="3"/>
      <c r="E97" s="1"/>
      <c r="F97" s="3"/>
      <c r="G97" s="151"/>
      <c r="H97" s="149"/>
      <c r="I97" s="15"/>
      <c r="J97" s="164"/>
      <c r="K97" s="164"/>
      <c r="L97" s="165"/>
      <c r="M97" s="80"/>
    </row>
    <row r="98" spans="2:13" x14ac:dyDescent="0.25">
      <c r="B98" s="7"/>
      <c r="C98" s="2" t="s">
        <v>481</v>
      </c>
      <c r="D98" s="3" t="s">
        <v>38</v>
      </c>
      <c r="E98" s="1"/>
      <c r="F98" s="3">
        <v>1</v>
      </c>
      <c r="G98" s="171">
        <v>0</v>
      </c>
      <c r="H98" s="172">
        <f t="shared" si="0"/>
        <v>0</v>
      </c>
      <c r="I98" s="15"/>
      <c r="J98" s="164"/>
      <c r="K98" s="164"/>
      <c r="L98" s="165"/>
      <c r="M98" s="80"/>
    </row>
    <row r="99" spans="2:13" x14ac:dyDescent="0.25">
      <c r="B99" s="7"/>
      <c r="C99" s="2"/>
      <c r="D99" s="3"/>
      <c r="E99" s="1"/>
      <c r="F99" s="3"/>
      <c r="G99" s="151"/>
      <c r="H99" s="149"/>
      <c r="I99" s="15"/>
      <c r="J99" s="164"/>
      <c r="K99" s="164"/>
      <c r="L99" s="165"/>
      <c r="M99" s="80"/>
    </row>
    <row r="100" spans="2:13" x14ac:dyDescent="0.25">
      <c r="B100" s="7"/>
      <c r="C100" s="2" t="s">
        <v>484</v>
      </c>
      <c r="D100" s="3" t="s">
        <v>38</v>
      </c>
      <c r="E100" s="1"/>
      <c r="F100" s="3">
        <v>1</v>
      </c>
      <c r="G100" s="171">
        <v>0</v>
      </c>
      <c r="H100" s="172">
        <f t="shared" si="0"/>
        <v>0</v>
      </c>
      <c r="I100" s="15"/>
      <c r="J100" s="164"/>
      <c r="K100" s="164"/>
      <c r="L100" s="165"/>
      <c r="M100" s="80"/>
    </row>
    <row r="101" spans="2:13" x14ac:dyDescent="0.25">
      <c r="B101" s="7"/>
      <c r="C101" s="2"/>
      <c r="D101" s="3"/>
      <c r="E101" s="1"/>
      <c r="F101" s="3"/>
      <c r="G101" s="151"/>
      <c r="H101" s="149"/>
      <c r="I101" s="15"/>
      <c r="J101" s="164"/>
      <c r="K101" s="164"/>
      <c r="L101" s="165"/>
      <c r="M101" s="80"/>
    </row>
    <row r="102" spans="2:13" ht="14.5" x14ac:dyDescent="0.25">
      <c r="B102" s="7"/>
      <c r="C102" s="2" t="s">
        <v>565</v>
      </c>
      <c r="D102" s="3" t="s">
        <v>38</v>
      </c>
      <c r="E102" s="1"/>
      <c r="F102" s="3">
        <v>1</v>
      </c>
      <c r="G102" s="171">
        <v>0</v>
      </c>
      <c r="H102" s="172">
        <f t="shared" si="0"/>
        <v>0</v>
      </c>
      <c r="I102" s="15"/>
      <c r="J102" s="164"/>
      <c r="K102" s="164"/>
      <c r="L102" s="165"/>
      <c r="M102" s="80"/>
    </row>
    <row r="103" spans="2:13" x14ac:dyDescent="0.25">
      <c r="B103" s="7"/>
      <c r="C103" s="2"/>
      <c r="D103" s="3"/>
      <c r="E103" s="1"/>
      <c r="F103" s="3"/>
      <c r="G103" s="151"/>
      <c r="H103" s="149"/>
      <c r="I103" s="15"/>
      <c r="J103" s="164"/>
      <c r="K103" s="164"/>
      <c r="L103" s="165"/>
      <c r="M103" s="80"/>
    </row>
    <row r="104" spans="2:13" x14ac:dyDescent="0.25">
      <c r="B104" s="7"/>
      <c r="C104" s="2" t="s">
        <v>482</v>
      </c>
      <c r="D104" s="3" t="s">
        <v>38</v>
      </c>
      <c r="E104" s="1"/>
      <c r="F104" s="3">
        <v>1</v>
      </c>
      <c r="G104" s="171">
        <v>0</v>
      </c>
      <c r="H104" s="172">
        <f t="shared" si="0"/>
        <v>0</v>
      </c>
      <c r="I104" s="15"/>
      <c r="J104" s="164"/>
      <c r="K104" s="164"/>
      <c r="L104" s="165"/>
      <c r="M104" s="80"/>
    </row>
    <row r="105" spans="2:13" x14ac:dyDescent="0.25">
      <c r="B105" s="7"/>
      <c r="C105" s="2"/>
      <c r="D105" s="3"/>
      <c r="E105" s="1"/>
      <c r="F105" s="3"/>
      <c r="G105" s="151"/>
      <c r="H105" s="149"/>
      <c r="I105" s="15"/>
      <c r="J105" s="164"/>
      <c r="K105" s="164"/>
      <c r="L105" s="165"/>
      <c r="M105" s="80"/>
    </row>
    <row r="106" spans="2:13" x14ac:dyDescent="0.25">
      <c r="B106" s="7"/>
      <c r="C106" s="2" t="s">
        <v>483</v>
      </c>
      <c r="D106" s="3" t="s">
        <v>38</v>
      </c>
      <c r="E106" s="1"/>
      <c r="F106" s="3">
        <v>1</v>
      </c>
      <c r="G106" s="171">
        <v>0</v>
      </c>
      <c r="H106" s="172">
        <f t="shared" si="0"/>
        <v>0</v>
      </c>
      <c r="I106" s="15"/>
      <c r="J106" s="164"/>
      <c r="K106" s="164"/>
      <c r="L106" s="165"/>
      <c r="M106" s="80"/>
    </row>
    <row r="107" spans="2:13" x14ac:dyDescent="0.25">
      <c r="B107" s="7"/>
      <c r="C107" s="23"/>
      <c r="D107" s="3"/>
      <c r="E107" s="1"/>
      <c r="F107" s="3"/>
      <c r="G107" s="151"/>
      <c r="H107" s="149"/>
      <c r="I107" s="15"/>
      <c r="J107" s="164"/>
      <c r="K107" s="164"/>
      <c r="L107" s="165"/>
      <c r="M107" s="80"/>
    </row>
    <row r="108" spans="2:13" x14ac:dyDescent="0.25">
      <c r="B108" s="7"/>
      <c r="C108" s="2"/>
      <c r="D108" s="3"/>
      <c r="E108" s="1"/>
      <c r="F108" s="3"/>
      <c r="G108" s="151"/>
      <c r="H108" s="149"/>
      <c r="I108" s="15"/>
      <c r="J108" s="164"/>
      <c r="K108" s="164"/>
      <c r="L108" s="165"/>
      <c r="M108" s="80"/>
    </row>
    <row r="109" spans="2:13" x14ac:dyDescent="0.25">
      <c r="B109" s="7" t="s">
        <v>255</v>
      </c>
      <c r="C109" s="2" t="s">
        <v>256</v>
      </c>
      <c r="D109" s="3"/>
      <c r="E109" s="1"/>
      <c r="F109" s="3"/>
      <c r="G109" s="151"/>
      <c r="H109" s="149" t="str">
        <f t="shared" si="0"/>
        <v/>
      </c>
      <c r="I109" s="15"/>
      <c r="J109" s="164"/>
      <c r="K109" s="164"/>
      <c r="L109" s="165"/>
      <c r="M109" s="80"/>
    </row>
    <row r="110" spans="2:13" x14ac:dyDescent="0.25">
      <c r="B110" s="7"/>
      <c r="C110" s="2"/>
      <c r="D110" s="3"/>
      <c r="E110" s="1"/>
      <c r="F110" s="3"/>
      <c r="G110" s="151"/>
      <c r="H110" s="149"/>
      <c r="I110" s="15"/>
      <c r="J110" s="164"/>
      <c r="K110" s="164"/>
      <c r="L110" s="165"/>
      <c r="M110" s="80"/>
    </row>
    <row r="111" spans="2:13" x14ac:dyDescent="0.25">
      <c r="B111" s="7"/>
      <c r="C111" s="2" t="s">
        <v>486</v>
      </c>
      <c r="D111" s="3" t="s">
        <v>12</v>
      </c>
      <c r="E111" s="1"/>
      <c r="F111" s="3">
        <v>10000</v>
      </c>
      <c r="G111" s="171">
        <v>0</v>
      </c>
      <c r="H111" s="172">
        <f t="shared" ref="H111" si="6">IF(D111="","",F111*G111)</f>
        <v>0</v>
      </c>
      <c r="I111" s="15"/>
      <c r="J111" s="164"/>
      <c r="K111" s="164"/>
      <c r="L111" s="165"/>
      <c r="M111" s="80"/>
    </row>
    <row r="112" spans="2:13" x14ac:dyDescent="0.25">
      <c r="B112" s="7"/>
      <c r="C112" s="2"/>
      <c r="D112" s="3"/>
      <c r="E112" s="1"/>
      <c r="F112" s="3"/>
      <c r="G112" s="151"/>
      <c r="H112" s="149" t="str">
        <f t="shared" si="0"/>
        <v/>
      </c>
      <c r="I112" s="15"/>
      <c r="J112" s="164"/>
      <c r="K112" s="164"/>
      <c r="L112" s="165"/>
      <c r="M112" s="80"/>
    </row>
    <row r="113" spans="2:13" x14ac:dyDescent="0.25">
      <c r="B113" s="7"/>
      <c r="C113" s="2" t="s">
        <v>566</v>
      </c>
      <c r="D113" s="3" t="s">
        <v>12</v>
      </c>
      <c r="E113" s="1"/>
      <c r="F113" s="3">
        <v>10000</v>
      </c>
      <c r="G113" s="171">
        <v>0</v>
      </c>
      <c r="H113" s="172">
        <f t="shared" ref="H113" si="7">IF(D113="","",F113*G113)</f>
        <v>0</v>
      </c>
      <c r="I113" s="15"/>
      <c r="J113" s="164"/>
      <c r="K113" s="164"/>
      <c r="L113" s="165"/>
      <c r="M113" s="80"/>
    </row>
    <row r="114" spans="2:13" x14ac:dyDescent="0.25">
      <c r="B114" s="7"/>
      <c r="C114" s="2"/>
      <c r="D114" s="3"/>
      <c r="E114" s="1"/>
      <c r="F114" s="3"/>
      <c r="G114" s="151"/>
      <c r="H114" s="149" t="str">
        <f t="shared" si="0"/>
        <v/>
      </c>
      <c r="I114" s="15"/>
      <c r="J114" s="164"/>
      <c r="K114" s="164"/>
      <c r="L114" s="165"/>
      <c r="M114" s="80"/>
    </row>
    <row r="115" spans="2:13" x14ac:dyDescent="0.25">
      <c r="B115" s="7"/>
      <c r="C115" s="2"/>
      <c r="D115" s="3"/>
      <c r="E115" s="1"/>
      <c r="F115" s="3"/>
      <c r="G115" s="151"/>
      <c r="H115" s="149"/>
      <c r="I115" s="15"/>
      <c r="J115" s="164"/>
      <c r="K115" s="164"/>
      <c r="L115" s="165"/>
      <c r="M115" s="80"/>
    </row>
    <row r="116" spans="2:13" ht="23" x14ac:dyDescent="0.25">
      <c r="B116" s="7" t="s">
        <v>258</v>
      </c>
      <c r="C116" s="2" t="s">
        <v>259</v>
      </c>
      <c r="D116" s="3"/>
      <c r="E116" s="1"/>
      <c r="F116" s="3"/>
      <c r="G116" s="155"/>
      <c r="H116" s="149" t="str">
        <f t="shared" si="0"/>
        <v/>
      </c>
      <c r="I116" s="15"/>
      <c r="J116" s="164"/>
      <c r="K116" s="164"/>
      <c r="L116" s="165"/>
      <c r="M116" s="80"/>
    </row>
    <row r="117" spans="2:13" x14ac:dyDescent="0.25">
      <c r="B117" s="7"/>
      <c r="C117" s="2" t="s">
        <v>260</v>
      </c>
      <c r="D117" s="3" t="s">
        <v>210</v>
      </c>
      <c r="E117" s="1"/>
      <c r="F117" s="156">
        <v>250000</v>
      </c>
      <c r="G117" s="169">
        <v>1</v>
      </c>
      <c r="H117" s="172">
        <f t="shared" si="0"/>
        <v>250000</v>
      </c>
      <c r="I117" s="15"/>
      <c r="J117" s="164"/>
      <c r="K117" s="164"/>
      <c r="L117" s="165"/>
      <c r="M117" s="80"/>
    </row>
    <row r="118" spans="2:13" x14ac:dyDescent="0.25">
      <c r="B118" s="7"/>
      <c r="C118" s="2"/>
      <c r="D118" s="3"/>
      <c r="E118" s="1"/>
      <c r="F118" s="3"/>
      <c r="G118" s="155"/>
      <c r="H118" s="149" t="str">
        <f t="shared" si="0"/>
        <v/>
      </c>
      <c r="I118" s="15"/>
      <c r="J118" s="164"/>
      <c r="K118" s="164"/>
      <c r="L118" s="165"/>
      <c r="M118" s="80"/>
    </row>
    <row r="119" spans="2:13" ht="23" x14ac:dyDescent="0.25">
      <c r="B119" s="7"/>
      <c r="C119" s="2" t="s">
        <v>257</v>
      </c>
      <c r="D119" s="3" t="s">
        <v>6</v>
      </c>
      <c r="E119" s="1"/>
      <c r="F119" s="175">
        <f>H117</f>
        <v>250000</v>
      </c>
      <c r="G119" s="168">
        <v>0</v>
      </c>
      <c r="H119" s="172">
        <f t="shared" si="0"/>
        <v>0</v>
      </c>
      <c r="I119" s="15"/>
      <c r="J119" s="164"/>
      <c r="K119" s="164"/>
      <c r="L119" s="165"/>
      <c r="M119" s="80"/>
    </row>
    <row r="120" spans="2:13" x14ac:dyDescent="0.25">
      <c r="B120" s="7"/>
      <c r="C120" s="2"/>
      <c r="D120" s="3"/>
      <c r="E120" s="1"/>
      <c r="F120" s="3"/>
      <c r="G120" s="151"/>
      <c r="H120" s="149" t="str">
        <f t="shared" si="0"/>
        <v/>
      </c>
      <c r="I120" s="15"/>
      <c r="J120" s="164"/>
      <c r="K120" s="164"/>
      <c r="L120" s="165"/>
      <c r="M120" s="80"/>
    </row>
    <row r="121" spans="2:13" x14ac:dyDescent="0.25">
      <c r="B121" s="7"/>
      <c r="C121" s="2"/>
      <c r="D121" s="3"/>
      <c r="E121" s="1"/>
      <c r="F121" s="3"/>
      <c r="G121" s="3"/>
      <c r="H121" s="149" t="str">
        <f t="shared" si="0"/>
        <v/>
      </c>
      <c r="I121" s="15"/>
      <c r="J121" s="163"/>
      <c r="K121" s="164"/>
      <c r="L121" s="165"/>
      <c r="M121" s="80"/>
    </row>
    <row r="122" spans="2:13" s="35" customFormat="1" ht="24" customHeight="1" x14ac:dyDescent="0.25">
      <c r="B122" s="29" t="s">
        <v>635</v>
      </c>
      <c r="C122" s="28" t="str">
        <f>"TOTAL CARRIED FORWARD"&amp;IF(H122=H$1," TO SUMMARY (Page C"&amp;Page_A&amp;")","")</f>
        <v>TOTAL CARRIED FORWARD</v>
      </c>
      <c r="D122" s="21"/>
      <c r="E122" s="21"/>
      <c r="F122" s="22"/>
      <c r="G122" s="21"/>
      <c r="H122" s="174">
        <f>SUM(H15:H120)</f>
        <v>1250000</v>
      </c>
      <c r="I122" s="62"/>
      <c r="J122" s="166"/>
      <c r="K122" s="166"/>
      <c r="L122" s="71"/>
      <c r="M122" s="23"/>
    </row>
    <row r="123" spans="2:13" ht="5.25" customHeight="1" x14ac:dyDescent="0.25">
      <c r="L123" s="71"/>
    </row>
    <row r="124" spans="2:13" x14ac:dyDescent="0.25">
      <c r="L124" s="71"/>
    </row>
    <row r="125" spans="2:13" x14ac:dyDescent="0.25">
      <c r="L125" s="71"/>
    </row>
    <row r="128" spans="2:13" x14ac:dyDescent="0.25">
      <c r="C128" s="23"/>
    </row>
  </sheetData>
  <sheetProtection algorithmName="SHA-512" hashValue="Khy1hsgrf296Xe7iOxQEzBbkt1HSshwgfieamydJk2u7VPntioWqKf6qhPu7twCvsaLQX11VLnxgTr0fQ0UsuA==" saltValue="hNfgCeKtLvqyzbjrx2wKhA==" spinCount="100000" sheet="1" objects="1" scenarios="1"/>
  <mergeCells count="3">
    <mergeCell ref="F6:H6"/>
    <mergeCell ref="F3:H3"/>
    <mergeCell ref="B7:H7"/>
  </mergeCells>
  <phoneticPr fontId="0" type="noConversion"/>
  <pageMargins left="0.43307086614173229" right="0.31496062992125984" top="0.43307086614173229" bottom="0.62992125984251968" header="0.35433070866141736" footer="0.31496062992125984"/>
  <pageSetup paperSize="9" scale="46" firstPageNumber="31" orientation="portrait" useFirstPageNumber="1"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DD36B902-CC9F-4AE2-9E26-3E34DE67B0ED}">
            <xm:f>AND(Home!$C$8=FALSE,$D43&lt;&gt;"P C Sum",$D43&lt;&gt;"PC Sum",$D43&lt;&gt;"P Sum",$D43&lt;&gt;"Prov Sum")</xm:f>
            <x14:dxf>
              <font>
                <color theme="0"/>
              </font>
            </x14:dxf>
          </x14:cfRule>
          <xm:sqref>F43:H43</xm:sqref>
        </x14:conditionalFormatting>
        <x14:conditionalFormatting xmlns:xm="http://schemas.microsoft.com/office/excel/2006/main">
          <x14:cfRule type="expression" priority="2" id="{EA6375D7-334A-4F46-942E-0F0B980DA3B4}">
            <xm:f>AND(Home!$C$8=FALSE,$D62&lt;&gt;"P C Sum",$D62&lt;&gt;"PC Sum",$D62&lt;&gt;"P Sum",$D62&lt;&gt;"Prov Sum")</xm:f>
            <x14:dxf>
              <font>
                <color theme="0"/>
              </font>
            </x14:dxf>
          </x14:cfRule>
          <xm:sqref>F62:H62</xm:sqref>
        </x14:conditionalFormatting>
        <x14:conditionalFormatting xmlns:xm="http://schemas.microsoft.com/office/excel/2006/main">
          <x14:cfRule type="expression" priority="3" id="{A72E20D2-94C2-4715-BA50-BC8D574D585F}">
            <xm:f>AND(Home!$C$8=FALSE,$D117&lt;&gt;"P C Sum",$D117&lt;&gt;"PC Sum",$D117&lt;&gt;"P Sum",$D117&lt;&gt;"Prov Sum")</xm:f>
            <x14:dxf>
              <font>
                <color theme="0"/>
              </font>
            </x14:dxf>
          </x14:cfRule>
          <xm:sqref>F117:H117</xm:sqref>
        </x14:conditionalFormatting>
        <x14:conditionalFormatting xmlns:xm="http://schemas.microsoft.com/office/excel/2006/main">
          <x14:cfRule type="expression" priority="8" id="{716E715B-AB6C-42B6-93D3-9F90B9337E25}">
            <xm:f>AND(Home!$C$8=FALSE,$D10&lt;&gt;"P C Sum",$D10&lt;&gt;"PC Sum",$D10&lt;&gt;"P Sum",$D10&lt;&gt;"Prov Sum")</xm:f>
            <x14:dxf>
              <font>
                <color theme="0"/>
              </font>
            </x14:dxf>
          </x14:cfRule>
          <xm:sqref>G10:H42 G44:H61 G63:H116 G118:H122</xm:sqref>
        </x14:conditionalFormatting>
        <x14:conditionalFormatting xmlns:xm="http://schemas.microsoft.com/office/excel/2006/main">
          <x14:cfRule type="expression" priority="10" id="{AD812ECF-F6D5-4C0C-B565-9DB040FD1C3F}">
            <xm:f>AND(Home!$C$8=FALSE,$D122&lt;&gt;"P C Sum",$D122&lt;&gt;"PC Sum",$D122&lt;&gt;"P Sum",$D122&lt;&gt;"Prov Sum")</xm:f>
            <x14:dxf>
              <font>
                <color theme="0"/>
              </font>
            </x14:dxf>
          </x14:cfRule>
          <xm:sqref>K122</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63FE-BBEF-49E6-A9A6-FFF74569D46E}">
  <sheetPr codeName="Sheet17">
    <tabColor rgb="FF92D050"/>
  </sheetPr>
  <dimension ref="A1:N181"/>
  <sheetViews>
    <sheetView showGridLines="0" view="pageBreakPreview" zoomScaleSheetLayoutView="100" workbookViewId="0">
      <pane xSplit="5" ySplit="2" topLeftCell="F3" activePane="bottomRight" state="frozen"/>
      <selection activeCell="F47" sqref="F47"/>
      <selection pane="topRight" activeCell="F47" sqref="F47"/>
      <selection pane="bottomLeft" activeCell="F47" sqref="F47"/>
      <selection pane="bottomRight" activeCell="K7" sqref="K7"/>
    </sheetView>
  </sheetViews>
  <sheetFormatPr defaultColWidth="8.81640625" defaultRowHeight="11.5" x14ac:dyDescent="0.25"/>
  <cols>
    <col min="1" max="1" width="1.1796875" style="178" customWidth="1"/>
    <col min="2" max="2" width="7.453125" style="547" customWidth="1"/>
    <col min="3" max="3" width="41.1796875" style="548" customWidth="1"/>
    <col min="4" max="4" width="9" style="549" customWidth="1"/>
    <col min="5" max="5" width="4.453125" style="549" customWidth="1"/>
    <col min="6" max="6" width="13.6328125" style="549" customWidth="1"/>
    <col min="7" max="7" width="13.54296875" style="178" customWidth="1"/>
    <col min="8" max="8" width="15.1796875" style="687" customWidth="1"/>
    <col min="9" max="9" width="1.1796875" style="178" customWidth="1"/>
    <col min="10" max="10" width="13.54296875" style="185" customWidth="1"/>
    <col min="11" max="12" width="14.1796875" style="185" customWidth="1"/>
    <col min="13" max="13" width="14.1796875" style="182" customWidth="1"/>
    <col min="14" max="16384" width="8.81640625" style="178"/>
  </cols>
  <sheetData>
    <row r="1" spans="1:14" x14ac:dyDescent="0.25">
      <c r="B1" s="179"/>
      <c r="C1" s="180" t="s">
        <v>61</v>
      </c>
      <c r="D1" s="181"/>
      <c r="E1" s="181"/>
      <c r="F1" s="181"/>
      <c r="G1" s="182"/>
      <c r="H1" s="183">
        <f>MAX(H2:H210)</f>
        <v>0</v>
      </c>
      <c r="I1" s="184"/>
    </row>
    <row r="2" spans="1:14" x14ac:dyDescent="0.25">
      <c r="A2" s="182"/>
      <c r="B2" s="190"/>
      <c r="C2" s="191"/>
      <c r="D2" s="191"/>
      <c r="E2" s="191"/>
      <c r="F2" s="191"/>
      <c r="G2" s="191"/>
      <c r="H2" s="191"/>
      <c r="I2" s="192"/>
      <c r="J2" s="193"/>
      <c r="K2" s="193"/>
      <c r="L2" s="193"/>
      <c r="M2" s="193"/>
    </row>
    <row r="3" spans="1:14" s="182" customFormat="1" x14ac:dyDescent="0.25">
      <c r="B3" s="194" t="str">
        <f>_Client1</f>
        <v>Province of KwaZulu-Natal</v>
      </c>
      <c r="C3" s="180"/>
      <c r="D3" s="181"/>
      <c r="F3" s="767" t="s">
        <v>656</v>
      </c>
      <c r="G3" s="767"/>
      <c r="H3" s="767"/>
      <c r="J3" s="185"/>
      <c r="K3" s="185"/>
      <c r="L3" s="185"/>
      <c r="N3" s="181"/>
    </row>
    <row r="4" spans="1:14" s="182" customFormat="1" x14ac:dyDescent="0.25">
      <c r="B4" s="195" t="str">
        <f>_Client2</f>
        <v>Department of Transport</v>
      </c>
      <c r="C4" s="180"/>
      <c r="D4" s="181"/>
      <c r="E4" s="181"/>
      <c r="F4" s="181"/>
      <c r="G4" s="181"/>
      <c r="H4" s="181"/>
      <c r="J4" s="185"/>
      <c r="K4" s="185"/>
      <c r="L4" s="185"/>
      <c r="N4" s="181"/>
    </row>
    <row r="6" spans="1:14" s="182" customFormat="1" x14ac:dyDescent="0.25">
      <c r="B6" s="196" t="s">
        <v>593</v>
      </c>
      <c r="C6" s="550"/>
      <c r="D6" s="551"/>
      <c r="E6" s="551"/>
      <c r="F6" s="768" t="s">
        <v>594</v>
      </c>
      <c r="G6" s="768"/>
      <c r="H6" s="769"/>
      <c r="J6" s="199"/>
      <c r="K6" s="199"/>
      <c r="L6" s="199"/>
      <c r="M6" s="200"/>
    </row>
    <row r="7" spans="1:14" ht="23.15" customHeight="1" x14ac:dyDescent="0.25">
      <c r="B7" s="770" t="s">
        <v>657</v>
      </c>
      <c r="C7" s="771"/>
      <c r="D7" s="771"/>
      <c r="E7" s="771"/>
      <c r="F7" s="771"/>
      <c r="G7" s="771"/>
      <c r="H7" s="772"/>
      <c r="J7" s="201"/>
      <c r="K7" s="201"/>
      <c r="L7" s="201"/>
      <c r="M7" s="202"/>
    </row>
    <row r="8" spans="1:14" ht="8.15" customHeight="1" x14ac:dyDescent="0.25">
      <c r="B8" s="554"/>
      <c r="C8" s="670"/>
      <c r="D8" s="670"/>
      <c r="E8" s="670"/>
      <c r="F8" s="670"/>
      <c r="G8" s="670"/>
      <c r="H8" s="671"/>
      <c r="J8" s="201"/>
      <c r="K8" s="201"/>
      <c r="L8" s="201"/>
      <c r="M8" s="202"/>
    </row>
    <row r="9" spans="1:14" s="557" customFormat="1" ht="20.149999999999999" customHeight="1" x14ac:dyDescent="0.25">
      <c r="B9" s="558" t="s">
        <v>0</v>
      </c>
      <c r="C9" s="559" t="s">
        <v>1</v>
      </c>
      <c r="D9" s="559" t="s">
        <v>2</v>
      </c>
      <c r="E9" s="559" t="s">
        <v>30</v>
      </c>
      <c r="F9" s="559" t="s">
        <v>3</v>
      </c>
      <c r="G9" s="559" t="s">
        <v>4</v>
      </c>
      <c r="H9" s="672" t="s">
        <v>5</v>
      </c>
      <c r="J9" s="193"/>
      <c r="K9" s="193"/>
      <c r="L9" s="193"/>
      <c r="M9" s="211"/>
    </row>
    <row r="10" spans="1:14" x14ac:dyDescent="0.25">
      <c r="B10" s="673"/>
      <c r="C10" s="229"/>
      <c r="D10" s="213"/>
      <c r="E10" s="213"/>
      <c r="F10" s="213"/>
      <c r="G10" s="674"/>
      <c r="H10" s="675" t="str">
        <f>IF(D10="","",F10*G10)</f>
        <v/>
      </c>
      <c r="J10" s="217"/>
      <c r="K10" s="218"/>
      <c r="L10" s="219"/>
      <c r="M10" s="220"/>
    </row>
    <row r="11" spans="1:14" x14ac:dyDescent="0.25">
      <c r="B11" s="676" t="s">
        <v>228</v>
      </c>
      <c r="C11" s="563" t="s">
        <v>229</v>
      </c>
      <c r="D11" s="213"/>
      <c r="E11" s="213"/>
      <c r="F11" s="213"/>
      <c r="G11" s="674"/>
      <c r="H11" s="675" t="str">
        <f>IF(D11="","",F11*G11)</f>
        <v/>
      </c>
      <c r="J11" s="217"/>
      <c r="K11" s="218"/>
      <c r="L11" s="219"/>
      <c r="M11" s="220"/>
    </row>
    <row r="12" spans="1:14" x14ac:dyDescent="0.25">
      <c r="B12" s="673"/>
      <c r="C12" s="229"/>
      <c r="D12" s="213"/>
      <c r="E12" s="213"/>
      <c r="F12" s="213"/>
      <c r="G12" s="674"/>
      <c r="H12" s="675" t="str">
        <f>IF(D12="","",F12*G12)</f>
        <v/>
      </c>
      <c r="J12" s="217"/>
      <c r="K12" s="218"/>
      <c r="L12" s="219"/>
      <c r="M12" s="220"/>
    </row>
    <row r="13" spans="1:14" x14ac:dyDescent="0.25">
      <c r="B13" s="673"/>
      <c r="C13" s="677"/>
      <c r="D13" s="213"/>
      <c r="E13" s="213"/>
      <c r="F13" s="213"/>
      <c r="G13" s="674"/>
      <c r="H13" s="675" t="str">
        <f t="shared" ref="H13:H62" si="0">IF(D13="","",F13*G13)</f>
        <v/>
      </c>
      <c r="J13" s="217"/>
      <c r="K13" s="218"/>
      <c r="L13" s="219"/>
      <c r="M13" s="220"/>
    </row>
    <row r="14" spans="1:14" x14ac:dyDescent="0.25">
      <c r="B14" s="7" t="s">
        <v>228</v>
      </c>
      <c r="C14" s="11" t="s">
        <v>229</v>
      </c>
      <c r="D14" s="129"/>
      <c r="E14" s="14"/>
      <c r="F14" s="129"/>
      <c r="G14" s="678"/>
      <c r="H14" s="679" t="str">
        <f t="shared" si="0"/>
        <v/>
      </c>
      <c r="J14" s="217"/>
      <c r="K14" s="218"/>
      <c r="L14" s="219"/>
      <c r="M14" s="220"/>
    </row>
    <row r="15" spans="1:14" x14ac:dyDescent="0.25">
      <c r="B15" s="7"/>
      <c r="C15" s="11"/>
      <c r="D15" s="129"/>
      <c r="E15" s="14"/>
      <c r="F15" s="129"/>
      <c r="G15" s="678"/>
      <c r="H15" s="679" t="str">
        <f t="shared" si="0"/>
        <v/>
      </c>
      <c r="J15" s="217"/>
      <c r="K15" s="218"/>
      <c r="L15" s="219"/>
      <c r="M15" s="220"/>
    </row>
    <row r="16" spans="1:14" x14ac:dyDescent="0.25">
      <c r="B16" s="7" t="s">
        <v>230</v>
      </c>
      <c r="C16" s="2" t="s">
        <v>231</v>
      </c>
      <c r="D16" s="3" t="s">
        <v>38</v>
      </c>
      <c r="E16" s="1"/>
      <c r="F16" s="3">
        <v>300</v>
      </c>
      <c r="G16" s="171">
        <v>0</v>
      </c>
      <c r="H16" s="680">
        <f t="shared" si="0"/>
        <v>0</v>
      </c>
      <c r="J16" s="217"/>
      <c r="K16" s="218"/>
      <c r="L16" s="219"/>
      <c r="M16" s="220"/>
    </row>
    <row r="17" spans="2:13" x14ac:dyDescent="0.25">
      <c r="B17" s="7"/>
      <c r="C17" s="2"/>
      <c r="D17" s="3"/>
      <c r="E17" s="1"/>
      <c r="F17" s="3"/>
      <c r="G17" s="681"/>
      <c r="H17" s="680" t="str">
        <f t="shared" si="0"/>
        <v/>
      </c>
      <c r="J17" s="217"/>
      <c r="K17" s="218"/>
      <c r="L17" s="219"/>
      <c r="M17" s="220"/>
    </row>
    <row r="18" spans="2:13" x14ac:dyDescent="0.25">
      <c r="B18" s="7"/>
      <c r="C18" s="2" t="s">
        <v>473</v>
      </c>
      <c r="D18" s="3" t="s">
        <v>38</v>
      </c>
      <c r="E18" s="1"/>
      <c r="F18" s="3">
        <v>200</v>
      </c>
      <c r="G18" s="171">
        <v>0</v>
      </c>
      <c r="H18" s="680">
        <f t="shared" si="0"/>
        <v>0</v>
      </c>
      <c r="J18" s="217"/>
      <c r="K18" s="218"/>
      <c r="L18" s="219"/>
      <c r="M18" s="220"/>
    </row>
    <row r="19" spans="2:13" x14ac:dyDescent="0.25">
      <c r="B19" s="7"/>
      <c r="C19" s="136"/>
      <c r="D19" s="3"/>
      <c r="E19" s="1"/>
      <c r="F19" s="3"/>
      <c r="G19" s="681"/>
      <c r="H19" s="680"/>
      <c r="J19" s="217"/>
      <c r="K19" s="218"/>
      <c r="L19" s="219"/>
      <c r="M19" s="220"/>
    </row>
    <row r="20" spans="2:13" x14ac:dyDescent="0.25">
      <c r="B20" s="7"/>
      <c r="C20" s="2" t="s">
        <v>474</v>
      </c>
      <c r="D20" s="3" t="s">
        <v>38</v>
      </c>
      <c r="E20" s="1"/>
      <c r="F20" s="3">
        <v>100</v>
      </c>
      <c r="G20" s="171">
        <v>0</v>
      </c>
      <c r="H20" s="680">
        <f t="shared" ref="H20" si="1">IF(D20="","",F20*G20)</f>
        <v>0</v>
      </c>
      <c r="J20" s="217"/>
      <c r="K20" s="218"/>
      <c r="L20" s="219"/>
      <c r="M20" s="220"/>
    </row>
    <row r="21" spans="2:13" x14ac:dyDescent="0.25">
      <c r="B21" s="7"/>
      <c r="C21" s="2"/>
      <c r="D21" s="3"/>
      <c r="E21" s="1"/>
      <c r="F21" s="3"/>
      <c r="G21" s="681"/>
      <c r="H21" s="680"/>
      <c r="J21" s="217"/>
      <c r="K21" s="218"/>
      <c r="L21" s="219"/>
      <c r="M21" s="220"/>
    </row>
    <row r="22" spans="2:13" x14ac:dyDescent="0.25">
      <c r="B22" s="7"/>
      <c r="C22" s="2" t="s">
        <v>475</v>
      </c>
      <c r="D22" s="3" t="s">
        <v>38</v>
      </c>
      <c r="E22" s="1"/>
      <c r="F22" s="3">
        <v>60</v>
      </c>
      <c r="G22" s="171">
        <v>0</v>
      </c>
      <c r="H22" s="680">
        <f t="shared" ref="H22" si="2">IF(D22="","",F22*G22)</f>
        <v>0</v>
      </c>
      <c r="J22" s="217"/>
      <c r="K22" s="218"/>
      <c r="L22" s="219"/>
      <c r="M22" s="220"/>
    </row>
    <row r="23" spans="2:13" x14ac:dyDescent="0.25">
      <c r="B23" s="7"/>
      <c r="C23" s="2"/>
      <c r="D23" s="3"/>
      <c r="E23" s="1"/>
      <c r="F23" s="3"/>
      <c r="G23" s="681"/>
      <c r="H23" s="680"/>
      <c r="J23" s="217"/>
      <c r="K23" s="218"/>
      <c r="L23" s="219"/>
      <c r="M23" s="220"/>
    </row>
    <row r="24" spans="2:13" x14ac:dyDescent="0.25">
      <c r="B24" s="7"/>
      <c r="C24" s="2" t="s">
        <v>476</v>
      </c>
      <c r="D24" s="3" t="s">
        <v>38</v>
      </c>
      <c r="E24" s="1"/>
      <c r="F24" s="3">
        <v>200</v>
      </c>
      <c r="G24" s="171">
        <v>0</v>
      </c>
      <c r="H24" s="680">
        <f t="shared" ref="H24" si="3">IF(D24="","",F24*G24)</f>
        <v>0</v>
      </c>
      <c r="J24" s="217"/>
      <c r="K24" s="218"/>
      <c r="L24" s="219"/>
      <c r="M24" s="220"/>
    </row>
    <row r="25" spans="2:13" x14ac:dyDescent="0.25">
      <c r="B25" s="7"/>
      <c r="C25" s="2"/>
      <c r="D25" s="3"/>
      <c r="E25" s="1"/>
      <c r="F25" s="3"/>
      <c r="G25" s="681"/>
      <c r="H25" s="680"/>
      <c r="J25" s="217"/>
      <c r="K25" s="218"/>
      <c r="L25" s="219"/>
      <c r="M25" s="220"/>
    </row>
    <row r="26" spans="2:13" x14ac:dyDescent="0.25">
      <c r="B26" s="7"/>
      <c r="C26" s="2" t="s">
        <v>477</v>
      </c>
      <c r="D26" s="3" t="s">
        <v>38</v>
      </c>
      <c r="E26" s="1"/>
      <c r="F26" s="3">
        <v>200</v>
      </c>
      <c r="G26" s="171">
        <v>0</v>
      </c>
      <c r="H26" s="680">
        <f t="shared" ref="H26" si="4">IF(D26="","",F26*G26)</f>
        <v>0</v>
      </c>
      <c r="J26" s="217"/>
      <c r="K26" s="218"/>
      <c r="L26" s="219"/>
      <c r="M26" s="220"/>
    </row>
    <row r="27" spans="2:13" x14ac:dyDescent="0.25">
      <c r="B27" s="7"/>
      <c r="C27" s="2"/>
      <c r="D27" s="3"/>
      <c r="E27" s="1"/>
      <c r="F27" s="3"/>
      <c r="G27" s="681"/>
      <c r="H27" s="680"/>
      <c r="J27" s="217"/>
      <c r="K27" s="218"/>
      <c r="L27" s="219"/>
      <c r="M27" s="220"/>
    </row>
    <row r="28" spans="2:13" x14ac:dyDescent="0.25">
      <c r="B28" s="7"/>
      <c r="C28" s="2"/>
      <c r="D28" s="3"/>
      <c r="E28" s="1"/>
      <c r="F28" s="3"/>
      <c r="G28" s="681"/>
      <c r="H28" s="680" t="str">
        <f t="shared" si="0"/>
        <v/>
      </c>
      <c r="J28" s="217"/>
      <c r="K28" s="218"/>
      <c r="L28" s="219"/>
      <c r="M28" s="220"/>
    </row>
    <row r="29" spans="2:13" x14ac:dyDescent="0.25">
      <c r="B29" s="7" t="s">
        <v>253</v>
      </c>
      <c r="C29" s="2" t="s">
        <v>254</v>
      </c>
      <c r="D29" s="3"/>
      <c r="E29" s="1"/>
      <c r="F29" s="3"/>
      <c r="G29" s="681"/>
      <c r="H29" s="680" t="str">
        <f t="shared" si="0"/>
        <v/>
      </c>
      <c r="J29" s="217"/>
      <c r="K29" s="218"/>
      <c r="L29" s="219"/>
      <c r="M29" s="220"/>
    </row>
    <row r="30" spans="2:13" x14ac:dyDescent="0.25">
      <c r="B30" s="7"/>
      <c r="C30" s="2"/>
      <c r="D30" s="3"/>
      <c r="E30" s="1"/>
      <c r="F30" s="3"/>
      <c r="G30" s="681"/>
      <c r="H30" s="680" t="str">
        <f t="shared" si="0"/>
        <v/>
      </c>
      <c r="J30" s="217"/>
      <c r="K30" s="218"/>
      <c r="L30" s="219"/>
      <c r="M30" s="220"/>
    </row>
    <row r="31" spans="2:13" x14ac:dyDescent="0.25">
      <c r="B31" s="7"/>
      <c r="C31" s="2" t="s">
        <v>562</v>
      </c>
      <c r="D31" s="3" t="s">
        <v>38</v>
      </c>
      <c r="E31" s="1"/>
      <c r="F31" s="3">
        <v>100</v>
      </c>
      <c r="G31" s="171">
        <v>0</v>
      </c>
      <c r="H31" s="680">
        <f t="shared" si="0"/>
        <v>0</v>
      </c>
      <c r="J31" s="217"/>
      <c r="K31" s="218"/>
      <c r="L31" s="219"/>
      <c r="M31" s="220"/>
    </row>
    <row r="32" spans="2:13" x14ac:dyDescent="0.25">
      <c r="B32" s="7"/>
      <c r="C32" s="2"/>
      <c r="D32" s="3"/>
      <c r="E32" s="1"/>
      <c r="F32" s="3"/>
      <c r="G32" s="681"/>
      <c r="H32" s="680" t="str">
        <f t="shared" si="0"/>
        <v/>
      </c>
      <c r="J32" s="217"/>
      <c r="K32" s="218"/>
      <c r="L32" s="219"/>
      <c r="M32" s="220"/>
    </row>
    <row r="33" spans="2:13" x14ac:dyDescent="0.25">
      <c r="B33" s="7"/>
      <c r="C33" s="2" t="s">
        <v>563</v>
      </c>
      <c r="D33" s="3" t="s">
        <v>38</v>
      </c>
      <c r="E33" s="1"/>
      <c r="F33" s="3">
        <v>100</v>
      </c>
      <c r="G33" s="171">
        <v>0</v>
      </c>
      <c r="H33" s="680">
        <f t="shared" si="0"/>
        <v>0</v>
      </c>
      <c r="J33" s="217"/>
      <c r="K33" s="218"/>
      <c r="L33" s="219"/>
      <c r="M33" s="220"/>
    </row>
    <row r="34" spans="2:13" x14ac:dyDescent="0.25">
      <c r="B34" s="7"/>
      <c r="C34" s="2"/>
      <c r="D34" s="3"/>
      <c r="E34" s="1"/>
      <c r="F34" s="3"/>
      <c r="G34" s="681"/>
      <c r="H34" s="680" t="str">
        <f t="shared" si="0"/>
        <v/>
      </c>
      <c r="J34" s="217"/>
      <c r="K34" s="218"/>
      <c r="L34" s="219"/>
      <c r="M34" s="220"/>
    </row>
    <row r="35" spans="2:13" x14ac:dyDescent="0.25">
      <c r="B35" s="7"/>
      <c r="C35" s="2" t="s">
        <v>564</v>
      </c>
      <c r="D35" s="3" t="s">
        <v>38</v>
      </c>
      <c r="E35" s="1"/>
      <c r="F35" s="3">
        <v>100</v>
      </c>
      <c r="G35" s="171">
        <v>0</v>
      </c>
      <c r="H35" s="680">
        <f t="shared" si="0"/>
        <v>0</v>
      </c>
      <c r="J35" s="217"/>
      <c r="K35" s="218"/>
      <c r="L35" s="219"/>
      <c r="M35" s="220"/>
    </row>
    <row r="36" spans="2:13" x14ac:dyDescent="0.25">
      <c r="B36" s="7"/>
      <c r="C36" s="2"/>
      <c r="D36" s="3"/>
      <c r="E36" s="1"/>
      <c r="F36" s="3"/>
      <c r="G36" s="681"/>
      <c r="H36" s="680"/>
      <c r="J36" s="217"/>
      <c r="K36" s="218"/>
      <c r="L36" s="219"/>
      <c r="M36" s="220"/>
    </row>
    <row r="37" spans="2:13" x14ac:dyDescent="0.25">
      <c r="B37" s="7"/>
      <c r="C37" s="2" t="s">
        <v>478</v>
      </c>
      <c r="D37" s="3" t="s">
        <v>38</v>
      </c>
      <c r="E37" s="1"/>
      <c r="F37" s="3">
        <v>50</v>
      </c>
      <c r="G37" s="171">
        <v>0</v>
      </c>
      <c r="H37" s="680">
        <f t="shared" si="0"/>
        <v>0</v>
      </c>
      <c r="J37" s="217"/>
      <c r="K37" s="218"/>
      <c r="L37" s="219"/>
      <c r="M37" s="220"/>
    </row>
    <row r="38" spans="2:13" x14ac:dyDescent="0.25">
      <c r="B38" s="7"/>
      <c r="C38" s="2"/>
      <c r="D38" s="3"/>
      <c r="E38" s="1"/>
      <c r="F38" s="3"/>
      <c r="G38" s="681"/>
      <c r="H38" s="680"/>
      <c r="J38" s="217"/>
      <c r="K38" s="218"/>
      <c r="L38" s="219"/>
      <c r="M38" s="220"/>
    </row>
    <row r="39" spans="2:13" x14ac:dyDescent="0.25">
      <c r="B39" s="7"/>
      <c r="C39" s="2" t="s">
        <v>479</v>
      </c>
      <c r="D39" s="3" t="s">
        <v>38</v>
      </c>
      <c r="E39" s="1"/>
      <c r="F39" s="3">
        <v>50</v>
      </c>
      <c r="G39" s="171">
        <v>0</v>
      </c>
      <c r="H39" s="680">
        <f t="shared" si="0"/>
        <v>0</v>
      </c>
      <c r="J39" s="217"/>
      <c r="K39" s="218"/>
      <c r="L39" s="219"/>
      <c r="M39" s="220"/>
    </row>
    <row r="40" spans="2:13" x14ac:dyDescent="0.25">
      <c r="B40" s="7"/>
      <c r="C40" s="2"/>
      <c r="D40" s="3"/>
      <c r="E40" s="1"/>
      <c r="F40" s="3"/>
      <c r="G40" s="681"/>
      <c r="H40" s="680"/>
      <c r="J40" s="217"/>
      <c r="K40" s="218"/>
      <c r="L40" s="219"/>
      <c r="M40" s="220"/>
    </row>
    <row r="41" spans="2:13" x14ac:dyDescent="0.25">
      <c r="B41" s="7"/>
      <c r="C41" s="2" t="s">
        <v>480</v>
      </c>
      <c r="D41" s="3" t="s">
        <v>38</v>
      </c>
      <c r="E41" s="1"/>
      <c r="F41" s="3">
        <v>100</v>
      </c>
      <c r="G41" s="171">
        <v>0</v>
      </c>
      <c r="H41" s="680">
        <f t="shared" si="0"/>
        <v>0</v>
      </c>
      <c r="J41" s="217"/>
      <c r="K41" s="218"/>
      <c r="L41" s="219"/>
      <c r="M41" s="220"/>
    </row>
    <row r="42" spans="2:13" x14ac:dyDescent="0.25">
      <c r="B42" s="7"/>
      <c r="C42" s="2"/>
      <c r="D42" s="3"/>
      <c r="E42" s="1"/>
      <c r="F42" s="3"/>
      <c r="G42" s="681"/>
      <c r="H42" s="680"/>
      <c r="J42" s="217"/>
      <c r="K42" s="218"/>
      <c r="L42" s="219"/>
      <c r="M42" s="220"/>
    </row>
    <row r="43" spans="2:13" x14ac:dyDescent="0.25">
      <c r="B43" s="7"/>
      <c r="C43" s="2" t="s">
        <v>485</v>
      </c>
      <c r="D43" s="3"/>
      <c r="E43" s="1"/>
      <c r="F43" s="3"/>
      <c r="G43" s="681"/>
      <c r="H43" s="680" t="str">
        <f t="shared" si="0"/>
        <v/>
      </c>
      <c r="J43" s="217"/>
      <c r="K43" s="218"/>
      <c r="L43" s="219"/>
      <c r="M43" s="220"/>
    </row>
    <row r="44" spans="2:13" x14ac:dyDescent="0.25">
      <c r="B44" s="7"/>
      <c r="C44" s="2"/>
      <c r="D44" s="3"/>
      <c r="E44" s="1"/>
      <c r="F44" s="3"/>
      <c r="G44" s="681"/>
      <c r="H44" s="680"/>
      <c r="J44" s="217"/>
      <c r="K44" s="218"/>
      <c r="L44" s="219"/>
      <c r="M44" s="220"/>
    </row>
    <row r="45" spans="2:13" x14ac:dyDescent="0.25">
      <c r="B45" s="7"/>
      <c r="C45" s="2" t="s">
        <v>481</v>
      </c>
      <c r="D45" s="3" t="s">
        <v>38</v>
      </c>
      <c r="E45" s="1"/>
      <c r="F45" s="3">
        <v>50</v>
      </c>
      <c r="G45" s="171">
        <v>0</v>
      </c>
      <c r="H45" s="680">
        <f t="shared" si="0"/>
        <v>0</v>
      </c>
      <c r="J45" s="217"/>
      <c r="K45" s="218"/>
      <c r="L45" s="219"/>
      <c r="M45" s="220"/>
    </row>
    <row r="46" spans="2:13" x14ac:dyDescent="0.25">
      <c r="B46" s="7"/>
      <c r="C46" s="2"/>
      <c r="D46" s="3"/>
      <c r="E46" s="1"/>
      <c r="F46" s="3"/>
      <c r="G46" s="681"/>
      <c r="H46" s="680"/>
      <c r="J46" s="217"/>
      <c r="K46" s="218"/>
      <c r="L46" s="219"/>
      <c r="M46" s="220"/>
    </row>
    <row r="47" spans="2:13" x14ac:dyDescent="0.25">
      <c r="B47" s="7"/>
      <c r="C47" s="2" t="s">
        <v>484</v>
      </c>
      <c r="D47" s="3" t="s">
        <v>38</v>
      </c>
      <c r="E47" s="1"/>
      <c r="F47" s="3">
        <v>100</v>
      </c>
      <c r="G47" s="171">
        <v>0</v>
      </c>
      <c r="H47" s="680">
        <f t="shared" si="0"/>
        <v>0</v>
      </c>
      <c r="J47" s="218"/>
      <c r="K47" s="218"/>
      <c r="L47" s="219"/>
      <c r="M47" s="220"/>
    </row>
    <row r="48" spans="2:13" x14ac:dyDescent="0.25">
      <c r="B48" s="7"/>
      <c r="C48" s="2"/>
      <c r="D48" s="3"/>
      <c r="E48" s="1"/>
      <c r="F48" s="3"/>
      <c r="G48" s="681"/>
      <c r="H48" s="680"/>
      <c r="J48" s="217"/>
      <c r="K48" s="218"/>
      <c r="L48" s="219"/>
      <c r="M48" s="220"/>
    </row>
    <row r="49" spans="2:13" ht="14.5" x14ac:dyDescent="0.25">
      <c r="B49" s="7"/>
      <c r="C49" s="2" t="s">
        <v>565</v>
      </c>
      <c r="D49" s="3" t="s">
        <v>38</v>
      </c>
      <c r="E49" s="1"/>
      <c r="F49" s="3">
        <v>50</v>
      </c>
      <c r="G49" s="171">
        <v>0</v>
      </c>
      <c r="H49" s="680">
        <f t="shared" si="0"/>
        <v>0</v>
      </c>
      <c r="J49" s="217"/>
      <c r="K49" s="218"/>
      <c r="L49" s="219"/>
      <c r="M49" s="220"/>
    </row>
    <row r="50" spans="2:13" x14ac:dyDescent="0.25">
      <c r="B50" s="7"/>
      <c r="C50" s="2"/>
      <c r="D50" s="3"/>
      <c r="E50" s="1"/>
      <c r="F50" s="3"/>
      <c r="G50" s="681"/>
      <c r="H50" s="680"/>
      <c r="J50" s="240"/>
      <c r="K50" s="218"/>
      <c r="L50" s="219"/>
      <c r="M50" s="220"/>
    </row>
    <row r="51" spans="2:13" x14ac:dyDescent="0.25">
      <c r="B51" s="7"/>
      <c r="C51" s="2" t="s">
        <v>482</v>
      </c>
      <c r="D51" s="3" t="s">
        <v>38</v>
      </c>
      <c r="E51" s="1"/>
      <c r="F51" s="3">
        <v>100</v>
      </c>
      <c r="G51" s="171">
        <v>0</v>
      </c>
      <c r="H51" s="680">
        <f t="shared" si="0"/>
        <v>0</v>
      </c>
      <c r="J51" s="240"/>
      <c r="K51" s="218"/>
      <c r="L51" s="219"/>
      <c r="M51" s="220"/>
    </row>
    <row r="52" spans="2:13" x14ac:dyDescent="0.25">
      <c r="B52" s="7"/>
      <c r="C52" s="2"/>
      <c r="D52" s="3"/>
      <c r="E52" s="1"/>
      <c r="F52" s="3"/>
      <c r="G52" s="681"/>
      <c r="H52" s="680"/>
      <c r="J52" s="240"/>
      <c r="K52" s="218"/>
      <c r="L52" s="219"/>
      <c r="M52" s="220"/>
    </row>
    <row r="53" spans="2:13" x14ac:dyDescent="0.25">
      <c r="B53" s="7"/>
      <c r="C53" s="2" t="s">
        <v>483</v>
      </c>
      <c r="D53" s="3" t="s">
        <v>38</v>
      </c>
      <c r="E53" s="1"/>
      <c r="F53" s="3">
        <v>100</v>
      </c>
      <c r="G53" s="171">
        <v>0</v>
      </c>
      <c r="H53" s="680">
        <f t="shared" si="0"/>
        <v>0</v>
      </c>
      <c r="J53" s="240"/>
      <c r="K53" s="218"/>
      <c r="L53" s="219"/>
      <c r="M53" s="220"/>
    </row>
    <row r="54" spans="2:13" x14ac:dyDescent="0.25">
      <c r="B54" s="7"/>
      <c r="C54" s="23"/>
      <c r="D54" s="3"/>
      <c r="E54" s="1"/>
      <c r="F54" s="3"/>
      <c r="G54" s="681"/>
      <c r="H54" s="680"/>
      <c r="J54" s="240"/>
      <c r="K54" s="218"/>
      <c r="L54" s="219"/>
      <c r="M54" s="220"/>
    </row>
    <row r="55" spans="2:13" x14ac:dyDescent="0.25">
      <c r="B55" s="7"/>
      <c r="C55" s="2"/>
      <c r="D55" s="3"/>
      <c r="E55" s="1"/>
      <c r="F55" s="3"/>
      <c r="G55" s="681"/>
      <c r="H55" s="680"/>
      <c r="J55" s="240"/>
      <c r="K55" s="218"/>
      <c r="L55" s="219"/>
      <c r="M55" s="220"/>
    </row>
    <row r="56" spans="2:13" x14ac:dyDescent="0.25">
      <c r="B56" s="7" t="s">
        <v>255</v>
      </c>
      <c r="C56" s="2" t="s">
        <v>256</v>
      </c>
      <c r="D56" s="3"/>
      <c r="E56" s="1"/>
      <c r="F56" s="3"/>
      <c r="G56" s="681"/>
      <c r="H56" s="680" t="str">
        <f t="shared" si="0"/>
        <v/>
      </c>
      <c r="J56" s="217"/>
      <c r="K56" s="218"/>
      <c r="L56" s="219"/>
      <c r="M56" s="220"/>
    </row>
    <row r="57" spans="2:13" x14ac:dyDescent="0.25">
      <c r="B57" s="7"/>
      <c r="C57" s="2"/>
      <c r="D57" s="3"/>
      <c r="E57" s="1"/>
      <c r="F57" s="3"/>
      <c r="G57" s="681"/>
      <c r="H57" s="680"/>
      <c r="J57" s="217"/>
      <c r="K57" s="218"/>
      <c r="L57" s="219"/>
      <c r="M57" s="220"/>
    </row>
    <row r="58" spans="2:13" x14ac:dyDescent="0.25">
      <c r="B58" s="7"/>
      <c r="C58" s="2" t="s">
        <v>486</v>
      </c>
      <c r="D58" s="3" t="s">
        <v>12</v>
      </c>
      <c r="E58" s="1"/>
      <c r="F58" s="3">
        <v>100</v>
      </c>
      <c r="G58" s="171">
        <v>0</v>
      </c>
      <c r="H58" s="680">
        <f t="shared" ref="H58" si="5">IF(D58="","",F58*G58)</f>
        <v>0</v>
      </c>
      <c r="J58" s="218"/>
      <c r="K58" s="218"/>
      <c r="L58" s="219"/>
      <c r="M58" s="220"/>
    </row>
    <row r="59" spans="2:13" x14ac:dyDescent="0.25">
      <c r="B59" s="7"/>
      <c r="C59" s="2"/>
      <c r="D59" s="3"/>
      <c r="E59" s="1"/>
      <c r="F59" s="3"/>
      <c r="G59" s="681"/>
      <c r="H59" s="680" t="str">
        <f t="shared" si="0"/>
        <v/>
      </c>
      <c r="J59" s="217"/>
      <c r="K59" s="218"/>
      <c r="L59" s="219"/>
      <c r="M59" s="220"/>
    </row>
    <row r="60" spans="2:13" x14ac:dyDescent="0.25">
      <c r="B60" s="7"/>
      <c r="C60" s="2" t="s">
        <v>566</v>
      </c>
      <c r="D60" s="3" t="s">
        <v>12</v>
      </c>
      <c r="E60" s="1"/>
      <c r="F60" s="3">
        <v>50</v>
      </c>
      <c r="G60" s="171">
        <v>0</v>
      </c>
      <c r="H60" s="680">
        <f t="shared" si="0"/>
        <v>0</v>
      </c>
      <c r="J60" s="217"/>
      <c r="K60" s="218"/>
      <c r="L60" s="219"/>
      <c r="M60" s="220"/>
    </row>
    <row r="61" spans="2:13" x14ac:dyDescent="0.25">
      <c r="B61" s="673"/>
      <c r="C61" s="229"/>
      <c r="D61" s="213"/>
      <c r="E61" s="213"/>
      <c r="F61" s="213"/>
      <c r="G61" s="682"/>
      <c r="H61" s="683" t="str">
        <f t="shared" si="0"/>
        <v/>
      </c>
      <c r="J61" s="217"/>
      <c r="K61" s="218"/>
      <c r="L61" s="219"/>
      <c r="M61" s="220"/>
    </row>
    <row r="62" spans="2:13" ht="21" customHeight="1" x14ac:dyDescent="0.25">
      <c r="B62" s="673"/>
      <c r="C62" s="229"/>
      <c r="D62" s="213"/>
      <c r="E62" s="213"/>
      <c r="F62" s="213"/>
      <c r="G62" s="684"/>
      <c r="H62" s="683" t="str">
        <f t="shared" si="0"/>
        <v/>
      </c>
      <c r="J62" s="217"/>
      <c r="K62" s="218"/>
      <c r="L62" s="219"/>
      <c r="M62" s="220"/>
    </row>
    <row r="63" spans="2:13" ht="24.75" customHeight="1" x14ac:dyDescent="0.25">
      <c r="B63" s="585" t="str">
        <f>B11</f>
        <v>C1.2.8</v>
      </c>
      <c r="C63" s="249" t="str">
        <f>"TOTAL CARRIED FORWARD"&amp;IF(H63=H$1," TO SUMMARY ")</f>
        <v xml:space="preserve">TOTAL CARRIED FORWARD TO SUMMARY </v>
      </c>
      <c r="D63" s="586"/>
      <c r="E63" s="586"/>
      <c r="F63" s="587"/>
      <c r="G63" s="685"/>
      <c r="H63" s="686">
        <f>SUM(H9:H62)</f>
        <v>0</v>
      </c>
      <c r="J63" s="254"/>
      <c r="K63" s="254"/>
      <c r="L63" s="255"/>
      <c r="M63" s="256"/>
    </row>
    <row r="64" spans="2:13" ht="5.25" customHeight="1" x14ac:dyDescent="0.25">
      <c r="L64" s="263"/>
    </row>
    <row r="65" spans="1:14" x14ac:dyDescent="0.25">
      <c r="L65" s="263"/>
    </row>
    <row r="66" spans="1:14" x14ac:dyDescent="0.25">
      <c r="L66" s="263"/>
    </row>
    <row r="67" spans="1:14" x14ac:dyDescent="0.25">
      <c r="L67" s="263"/>
    </row>
    <row r="68" spans="1:14" x14ac:dyDescent="0.25">
      <c r="L68" s="263"/>
    </row>
    <row r="69" spans="1:14" x14ac:dyDescent="0.25">
      <c r="L69" s="263"/>
    </row>
    <row r="70" spans="1:14" x14ac:dyDescent="0.25">
      <c r="L70" s="263"/>
    </row>
    <row r="71" spans="1:14" x14ac:dyDescent="0.25">
      <c r="L71" s="263"/>
    </row>
    <row r="72" spans="1:14" x14ac:dyDescent="0.25">
      <c r="L72" s="263"/>
    </row>
    <row r="73" spans="1:14" x14ac:dyDescent="0.25">
      <c r="L73" s="263"/>
    </row>
    <row r="74" spans="1:14" x14ac:dyDescent="0.25">
      <c r="L74" s="263"/>
    </row>
    <row r="75" spans="1:14" x14ac:dyDescent="0.25">
      <c r="L75" s="263"/>
    </row>
    <row r="76" spans="1:14" x14ac:dyDescent="0.25">
      <c r="L76" s="263"/>
    </row>
    <row r="77" spans="1:14" x14ac:dyDescent="0.25">
      <c r="L77" s="263"/>
    </row>
    <row r="78" spans="1:14" s="182" customFormat="1" x14ac:dyDescent="0.25">
      <c r="A78" s="178"/>
      <c r="B78" s="547"/>
      <c r="C78" s="548"/>
      <c r="D78" s="549"/>
      <c r="E78" s="549"/>
      <c r="F78" s="549"/>
      <c r="G78" s="178"/>
      <c r="H78" s="687"/>
      <c r="I78" s="178"/>
      <c r="J78" s="185"/>
      <c r="K78" s="185"/>
      <c r="L78" s="263"/>
      <c r="N78" s="178"/>
    </row>
    <row r="79" spans="1:14" s="182" customFormat="1" x14ac:dyDescent="0.25">
      <c r="A79" s="178"/>
      <c r="B79" s="547"/>
      <c r="C79" s="548"/>
      <c r="D79" s="549"/>
      <c r="E79" s="549"/>
      <c r="F79" s="549"/>
      <c r="G79" s="178"/>
      <c r="H79" s="687"/>
      <c r="I79" s="178"/>
      <c r="J79" s="185"/>
      <c r="K79" s="185"/>
      <c r="L79" s="263"/>
      <c r="N79" s="178"/>
    </row>
    <row r="80" spans="1:14" s="182" customFormat="1" x14ac:dyDescent="0.25">
      <c r="A80" s="178"/>
      <c r="B80" s="547"/>
      <c r="C80" s="548"/>
      <c r="D80" s="549"/>
      <c r="E80" s="549"/>
      <c r="F80" s="549"/>
      <c r="G80" s="178"/>
      <c r="H80" s="687"/>
      <c r="I80" s="178"/>
      <c r="J80" s="185"/>
      <c r="K80" s="185"/>
      <c r="L80" s="263"/>
      <c r="N80" s="178"/>
    </row>
    <row r="81" spans="1:14" s="182" customFormat="1" x14ac:dyDescent="0.25">
      <c r="A81" s="178"/>
      <c r="B81" s="547"/>
      <c r="C81" s="548"/>
      <c r="D81" s="549"/>
      <c r="E81" s="549"/>
      <c r="F81" s="549"/>
      <c r="G81" s="178"/>
      <c r="H81" s="687"/>
      <c r="I81" s="178"/>
      <c r="J81" s="185"/>
      <c r="K81" s="185"/>
      <c r="L81" s="263"/>
      <c r="N81" s="178"/>
    </row>
    <row r="82" spans="1:14" s="182" customFormat="1" x14ac:dyDescent="0.25">
      <c r="A82" s="178"/>
      <c r="B82" s="547"/>
      <c r="C82" s="548"/>
      <c r="D82" s="549"/>
      <c r="E82" s="549"/>
      <c r="F82" s="549"/>
      <c r="G82" s="178"/>
      <c r="H82" s="687"/>
      <c r="I82" s="178"/>
      <c r="J82" s="185"/>
      <c r="K82" s="185"/>
      <c r="L82" s="263"/>
      <c r="N82" s="178"/>
    </row>
    <row r="83" spans="1:14" s="182" customFormat="1" x14ac:dyDescent="0.25">
      <c r="A83" s="178"/>
      <c r="B83" s="547"/>
      <c r="C83" s="548"/>
      <c r="D83" s="549"/>
      <c r="E83" s="549"/>
      <c r="F83" s="549"/>
      <c r="G83" s="178"/>
      <c r="H83" s="687"/>
      <c r="I83" s="178"/>
      <c r="J83" s="185"/>
      <c r="K83" s="185"/>
      <c r="L83" s="263"/>
      <c r="N83" s="178"/>
    </row>
    <row r="84" spans="1:14" s="182" customFormat="1" x14ac:dyDescent="0.25">
      <c r="A84" s="178"/>
      <c r="B84" s="547"/>
      <c r="C84" s="548"/>
      <c r="D84" s="549"/>
      <c r="E84" s="549"/>
      <c r="F84" s="549"/>
      <c r="G84" s="178"/>
      <c r="H84" s="687"/>
      <c r="I84" s="178"/>
      <c r="J84" s="185"/>
      <c r="K84" s="185"/>
      <c r="L84" s="263"/>
      <c r="N84" s="178"/>
    </row>
    <row r="85" spans="1:14" s="182" customFormat="1" x14ac:dyDescent="0.25">
      <c r="A85" s="178"/>
      <c r="B85" s="547"/>
      <c r="C85" s="548"/>
      <c r="D85" s="549"/>
      <c r="E85" s="549"/>
      <c r="F85" s="549"/>
      <c r="G85" s="178"/>
      <c r="H85" s="687"/>
      <c r="I85" s="178"/>
      <c r="J85" s="185"/>
      <c r="K85" s="185"/>
      <c r="L85" s="263"/>
      <c r="N85" s="178"/>
    </row>
    <row r="86" spans="1:14" s="182" customFormat="1" x14ac:dyDescent="0.25">
      <c r="A86" s="178"/>
      <c r="B86" s="547"/>
      <c r="C86" s="548"/>
      <c r="D86" s="549"/>
      <c r="E86" s="549"/>
      <c r="F86" s="549"/>
      <c r="G86" s="178"/>
      <c r="H86" s="687"/>
      <c r="I86" s="178"/>
      <c r="J86" s="185"/>
      <c r="K86" s="185"/>
      <c r="L86" s="263"/>
      <c r="N86" s="178"/>
    </row>
    <row r="87" spans="1:14" s="182" customFormat="1" x14ac:dyDescent="0.25">
      <c r="A87" s="178"/>
      <c r="B87" s="547"/>
      <c r="C87" s="548"/>
      <c r="D87" s="549"/>
      <c r="E87" s="549"/>
      <c r="F87" s="549"/>
      <c r="G87" s="178"/>
      <c r="H87" s="687"/>
      <c r="I87" s="178"/>
      <c r="J87" s="185"/>
      <c r="K87" s="185"/>
      <c r="L87" s="263"/>
      <c r="N87" s="178"/>
    </row>
    <row r="88" spans="1:14" s="182" customFormat="1" x14ac:dyDescent="0.25">
      <c r="A88" s="178"/>
      <c r="B88" s="547"/>
      <c r="C88" s="548"/>
      <c r="D88" s="549"/>
      <c r="E88" s="549"/>
      <c r="F88" s="549"/>
      <c r="G88" s="178"/>
      <c r="H88" s="687"/>
      <c r="I88" s="178"/>
      <c r="J88" s="185"/>
      <c r="K88" s="185"/>
      <c r="L88" s="263"/>
      <c r="N88" s="178"/>
    </row>
    <row r="89" spans="1:14" s="182" customFormat="1" x14ac:dyDescent="0.25">
      <c r="A89" s="178"/>
      <c r="B89" s="547"/>
      <c r="C89" s="548"/>
      <c r="D89" s="549"/>
      <c r="E89" s="549"/>
      <c r="F89" s="549"/>
      <c r="G89" s="178"/>
      <c r="H89" s="687"/>
      <c r="I89" s="178"/>
      <c r="J89" s="185"/>
      <c r="K89" s="185"/>
      <c r="L89" s="263"/>
      <c r="N89" s="178"/>
    </row>
    <row r="90" spans="1:14" s="182" customFormat="1" x14ac:dyDescent="0.25">
      <c r="A90" s="178"/>
      <c r="B90" s="547"/>
      <c r="C90" s="548"/>
      <c r="D90" s="549"/>
      <c r="E90" s="549"/>
      <c r="F90" s="549"/>
      <c r="G90" s="178"/>
      <c r="H90" s="687"/>
      <c r="I90" s="178"/>
      <c r="J90" s="185"/>
      <c r="K90" s="185"/>
      <c r="L90" s="263"/>
      <c r="N90" s="178"/>
    </row>
    <row r="91" spans="1:14" s="182" customFormat="1" x14ac:dyDescent="0.25">
      <c r="A91" s="178"/>
      <c r="B91" s="547"/>
      <c r="C91" s="548"/>
      <c r="D91" s="549"/>
      <c r="E91" s="549"/>
      <c r="F91" s="549"/>
      <c r="G91" s="178"/>
      <c r="H91" s="687"/>
      <c r="I91" s="178"/>
      <c r="J91" s="185"/>
      <c r="K91" s="185"/>
      <c r="L91" s="263"/>
      <c r="N91" s="178"/>
    </row>
    <row r="92" spans="1:14" s="182" customFormat="1" x14ac:dyDescent="0.25">
      <c r="A92" s="178"/>
      <c r="B92" s="547"/>
      <c r="C92" s="548"/>
      <c r="D92" s="549"/>
      <c r="E92" s="549"/>
      <c r="F92" s="549"/>
      <c r="G92" s="178"/>
      <c r="H92" s="687"/>
      <c r="I92" s="178"/>
      <c r="J92" s="185"/>
      <c r="K92" s="185"/>
      <c r="L92" s="263"/>
      <c r="N92" s="178"/>
    </row>
    <row r="93" spans="1:14" s="182" customFormat="1" x14ac:dyDescent="0.25">
      <c r="A93" s="178"/>
      <c r="B93" s="547"/>
      <c r="C93" s="548"/>
      <c r="D93" s="549"/>
      <c r="E93" s="549"/>
      <c r="F93" s="549"/>
      <c r="G93" s="178"/>
      <c r="H93" s="687"/>
      <c r="I93" s="178"/>
      <c r="J93" s="185"/>
      <c r="K93" s="185"/>
      <c r="L93" s="263"/>
      <c r="N93" s="178"/>
    </row>
    <row r="94" spans="1:14" s="182" customFormat="1" x14ac:dyDescent="0.25">
      <c r="A94" s="178"/>
      <c r="B94" s="547"/>
      <c r="C94" s="548"/>
      <c r="D94" s="549"/>
      <c r="E94" s="549"/>
      <c r="F94" s="549"/>
      <c r="G94" s="178"/>
      <c r="H94" s="687"/>
      <c r="I94" s="178"/>
      <c r="J94" s="185"/>
      <c r="K94" s="185"/>
      <c r="L94" s="263"/>
      <c r="N94" s="178"/>
    </row>
    <row r="95" spans="1:14" s="182" customFormat="1" x14ac:dyDescent="0.25">
      <c r="A95" s="178"/>
      <c r="B95" s="547"/>
      <c r="C95" s="548"/>
      <c r="D95" s="549"/>
      <c r="E95" s="549"/>
      <c r="F95" s="549"/>
      <c r="G95" s="178"/>
      <c r="H95" s="687"/>
      <c r="I95" s="178"/>
      <c r="J95" s="185"/>
      <c r="K95" s="185"/>
      <c r="L95" s="263"/>
      <c r="N95" s="178"/>
    </row>
    <row r="96" spans="1:14" s="182" customFormat="1" x14ac:dyDescent="0.25">
      <c r="A96" s="178"/>
      <c r="B96" s="547"/>
      <c r="C96" s="548"/>
      <c r="D96" s="549"/>
      <c r="E96" s="549"/>
      <c r="F96" s="549"/>
      <c r="G96" s="178"/>
      <c r="H96" s="687"/>
      <c r="I96" s="178"/>
      <c r="J96" s="185"/>
      <c r="K96" s="185"/>
      <c r="L96" s="263"/>
      <c r="N96" s="178"/>
    </row>
    <row r="97" spans="1:14" s="182" customFormat="1" x14ac:dyDescent="0.25">
      <c r="A97" s="178"/>
      <c r="B97" s="547"/>
      <c r="C97" s="548"/>
      <c r="D97" s="549"/>
      <c r="E97" s="549"/>
      <c r="F97" s="549"/>
      <c r="G97" s="178"/>
      <c r="H97" s="687"/>
      <c r="I97" s="178"/>
      <c r="J97" s="185"/>
      <c r="K97" s="185"/>
      <c r="L97" s="263"/>
      <c r="N97" s="178"/>
    </row>
    <row r="98" spans="1:14" s="182" customFormat="1" x14ac:dyDescent="0.25">
      <c r="A98" s="178"/>
      <c r="B98" s="547"/>
      <c r="C98" s="548"/>
      <c r="D98" s="549"/>
      <c r="E98" s="549"/>
      <c r="F98" s="549"/>
      <c r="G98" s="178"/>
      <c r="H98" s="687"/>
      <c r="I98" s="178"/>
      <c r="J98" s="185"/>
      <c r="K98" s="185"/>
      <c r="L98" s="263"/>
      <c r="N98" s="178"/>
    </row>
    <row r="99" spans="1:14" s="182" customFormat="1" x14ac:dyDescent="0.25">
      <c r="A99" s="178"/>
      <c r="B99" s="547"/>
      <c r="C99" s="548"/>
      <c r="D99" s="549"/>
      <c r="E99" s="549"/>
      <c r="F99" s="549"/>
      <c r="G99" s="178"/>
      <c r="H99" s="687"/>
      <c r="I99" s="178"/>
      <c r="J99" s="185"/>
      <c r="K99" s="185"/>
      <c r="L99" s="263"/>
      <c r="N99" s="178"/>
    </row>
    <row r="100" spans="1:14" s="182" customFormat="1" x14ac:dyDescent="0.25">
      <c r="A100" s="178"/>
      <c r="B100" s="547"/>
      <c r="C100" s="548"/>
      <c r="D100" s="549"/>
      <c r="E100" s="549"/>
      <c r="F100" s="549"/>
      <c r="G100" s="178"/>
      <c r="H100" s="687"/>
      <c r="I100" s="178"/>
      <c r="J100" s="185"/>
      <c r="K100" s="185"/>
      <c r="L100" s="263"/>
      <c r="N100" s="178"/>
    </row>
    <row r="101" spans="1:14" s="182" customFormat="1" x14ac:dyDescent="0.25">
      <c r="A101" s="178"/>
      <c r="B101" s="547"/>
      <c r="C101" s="548"/>
      <c r="D101" s="549"/>
      <c r="E101" s="549"/>
      <c r="F101" s="549"/>
      <c r="G101" s="178"/>
      <c r="H101" s="687"/>
      <c r="I101" s="178"/>
      <c r="J101" s="185"/>
      <c r="K101" s="185"/>
      <c r="L101" s="263"/>
      <c r="N101" s="178"/>
    </row>
    <row r="102" spans="1:14" s="182" customFormat="1" x14ac:dyDescent="0.25">
      <c r="A102" s="178"/>
      <c r="B102" s="547"/>
      <c r="C102" s="548"/>
      <c r="D102" s="549"/>
      <c r="E102" s="549"/>
      <c r="F102" s="549"/>
      <c r="G102" s="178"/>
      <c r="H102" s="687"/>
      <c r="I102" s="178"/>
      <c r="J102" s="185"/>
      <c r="K102" s="185"/>
      <c r="L102" s="263"/>
      <c r="N102" s="178"/>
    </row>
    <row r="103" spans="1:14" s="182" customFormat="1" x14ac:dyDescent="0.25">
      <c r="A103" s="178"/>
      <c r="B103" s="547"/>
      <c r="C103" s="548"/>
      <c r="D103" s="549"/>
      <c r="E103" s="549"/>
      <c r="F103" s="549"/>
      <c r="G103" s="178"/>
      <c r="H103" s="687"/>
      <c r="I103" s="178"/>
      <c r="J103" s="185"/>
      <c r="K103" s="185"/>
      <c r="L103" s="263"/>
      <c r="N103" s="178"/>
    </row>
    <row r="104" spans="1:14" s="182" customFormat="1" x14ac:dyDescent="0.25">
      <c r="A104" s="178"/>
      <c r="B104" s="547"/>
      <c r="C104" s="548"/>
      <c r="D104" s="549"/>
      <c r="E104" s="549"/>
      <c r="F104" s="549"/>
      <c r="G104" s="178"/>
      <c r="H104" s="687"/>
      <c r="I104" s="178"/>
      <c r="J104" s="185"/>
      <c r="K104" s="185"/>
      <c r="L104" s="263"/>
      <c r="N104" s="178"/>
    </row>
    <row r="105" spans="1:14" s="182" customFormat="1" x14ac:dyDescent="0.25">
      <c r="A105" s="178"/>
      <c r="B105" s="547"/>
      <c r="C105" s="548"/>
      <c r="D105" s="549"/>
      <c r="E105" s="549"/>
      <c r="F105" s="549"/>
      <c r="G105" s="178"/>
      <c r="H105" s="687"/>
      <c r="I105" s="178"/>
      <c r="J105" s="185"/>
      <c r="K105" s="185"/>
      <c r="L105" s="263"/>
      <c r="N105" s="178"/>
    </row>
    <row r="106" spans="1:14" s="182" customFormat="1" x14ac:dyDescent="0.25">
      <c r="A106" s="178"/>
      <c r="B106" s="547"/>
      <c r="C106" s="548"/>
      <c r="D106" s="549"/>
      <c r="E106" s="549"/>
      <c r="F106" s="549"/>
      <c r="G106" s="178"/>
      <c r="H106" s="687"/>
      <c r="I106" s="178"/>
      <c r="J106" s="185"/>
      <c r="K106" s="185"/>
      <c r="L106" s="263"/>
      <c r="N106" s="178"/>
    </row>
    <row r="107" spans="1:14" s="182" customFormat="1" x14ac:dyDescent="0.25">
      <c r="A107" s="178"/>
      <c r="B107" s="547"/>
      <c r="C107" s="548"/>
      <c r="D107" s="549"/>
      <c r="E107" s="549"/>
      <c r="F107" s="549"/>
      <c r="G107" s="178"/>
      <c r="H107" s="687"/>
      <c r="I107" s="178"/>
      <c r="J107" s="185"/>
      <c r="K107" s="185"/>
      <c r="L107" s="263"/>
      <c r="N107" s="178"/>
    </row>
    <row r="108" spans="1:14" s="182" customFormat="1" x14ac:dyDescent="0.25">
      <c r="A108" s="178"/>
      <c r="B108" s="547"/>
      <c r="C108" s="548"/>
      <c r="D108" s="549"/>
      <c r="E108" s="549"/>
      <c r="F108" s="549"/>
      <c r="G108" s="178"/>
      <c r="H108" s="687"/>
      <c r="I108" s="178"/>
      <c r="J108" s="185"/>
      <c r="K108" s="185"/>
      <c r="L108" s="263"/>
      <c r="N108" s="178"/>
    </row>
    <row r="109" spans="1:14" s="182" customFormat="1" x14ac:dyDescent="0.25">
      <c r="A109" s="178"/>
      <c r="B109" s="547"/>
      <c r="C109" s="548"/>
      <c r="D109" s="549"/>
      <c r="E109" s="549"/>
      <c r="F109" s="549"/>
      <c r="G109" s="178"/>
      <c r="H109" s="687"/>
      <c r="I109" s="178"/>
      <c r="J109" s="185"/>
      <c r="K109" s="185"/>
      <c r="L109" s="263"/>
      <c r="N109" s="178"/>
    </row>
    <row r="110" spans="1:14" s="182" customFormat="1" x14ac:dyDescent="0.25">
      <c r="A110" s="178"/>
      <c r="B110" s="547"/>
      <c r="C110" s="548"/>
      <c r="D110" s="549"/>
      <c r="E110" s="549"/>
      <c r="F110" s="549"/>
      <c r="G110" s="178"/>
      <c r="H110" s="687"/>
      <c r="I110" s="178"/>
      <c r="J110" s="185"/>
      <c r="K110" s="185"/>
      <c r="L110" s="263"/>
      <c r="N110" s="178"/>
    </row>
    <row r="111" spans="1:14" s="182" customFormat="1" x14ac:dyDescent="0.25">
      <c r="A111" s="178"/>
      <c r="B111" s="547"/>
      <c r="C111" s="548"/>
      <c r="D111" s="549"/>
      <c r="E111" s="549"/>
      <c r="F111" s="549"/>
      <c r="G111" s="178"/>
      <c r="H111" s="687"/>
      <c r="I111" s="178"/>
      <c r="J111" s="185"/>
      <c r="K111" s="185"/>
      <c r="L111" s="263"/>
      <c r="N111" s="178"/>
    </row>
    <row r="112" spans="1:14" s="182" customFormat="1" x14ac:dyDescent="0.25">
      <c r="A112" s="178"/>
      <c r="B112" s="547"/>
      <c r="C112" s="548"/>
      <c r="D112" s="549"/>
      <c r="E112" s="549"/>
      <c r="F112" s="549"/>
      <c r="G112" s="178"/>
      <c r="H112" s="687"/>
      <c r="I112" s="178"/>
      <c r="J112" s="185"/>
      <c r="K112" s="185"/>
      <c r="L112" s="263"/>
      <c r="N112" s="178"/>
    </row>
    <row r="113" spans="1:14" s="182" customFormat="1" x14ac:dyDescent="0.25">
      <c r="A113" s="178"/>
      <c r="B113" s="547"/>
      <c r="C113" s="548"/>
      <c r="D113" s="549"/>
      <c r="E113" s="549"/>
      <c r="F113" s="549"/>
      <c r="G113" s="178"/>
      <c r="H113" s="687"/>
      <c r="I113" s="178"/>
      <c r="J113" s="185"/>
      <c r="K113" s="185"/>
      <c r="L113" s="263"/>
      <c r="N113" s="178"/>
    </row>
    <row r="114" spans="1:14" s="182" customFormat="1" x14ac:dyDescent="0.25">
      <c r="A114" s="178"/>
      <c r="B114" s="547"/>
      <c r="C114" s="548"/>
      <c r="D114" s="549"/>
      <c r="E114" s="549"/>
      <c r="F114" s="549"/>
      <c r="G114" s="178"/>
      <c r="H114" s="687"/>
      <c r="I114" s="178"/>
      <c r="J114" s="185"/>
      <c r="K114" s="185"/>
      <c r="L114" s="263"/>
      <c r="N114" s="178"/>
    </row>
    <row r="115" spans="1:14" s="182" customFormat="1" x14ac:dyDescent="0.25">
      <c r="A115" s="178"/>
      <c r="B115" s="547"/>
      <c r="C115" s="548"/>
      <c r="D115" s="549"/>
      <c r="E115" s="549"/>
      <c r="F115" s="549"/>
      <c r="G115" s="178"/>
      <c r="H115" s="687"/>
      <c r="I115" s="178"/>
      <c r="J115" s="185"/>
      <c r="K115" s="185"/>
      <c r="L115" s="263"/>
      <c r="N115" s="178"/>
    </row>
    <row r="116" spans="1:14" s="182" customFormat="1" x14ac:dyDescent="0.25">
      <c r="A116" s="178"/>
      <c r="B116" s="547"/>
      <c r="C116" s="548"/>
      <c r="D116" s="549"/>
      <c r="E116" s="549"/>
      <c r="F116" s="549"/>
      <c r="G116" s="178"/>
      <c r="H116" s="687"/>
      <c r="I116" s="178"/>
      <c r="J116" s="185"/>
      <c r="K116" s="185"/>
      <c r="L116" s="263"/>
      <c r="N116" s="178"/>
    </row>
    <row r="117" spans="1:14" s="182" customFormat="1" x14ac:dyDescent="0.25">
      <c r="A117" s="178"/>
      <c r="B117" s="547"/>
      <c r="C117" s="548"/>
      <c r="D117" s="549"/>
      <c r="E117" s="549"/>
      <c r="F117" s="549"/>
      <c r="G117" s="178"/>
      <c r="H117" s="687"/>
      <c r="I117" s="178"/>
      <c r="J117" s="185"/>
      <c r="K117" s="185"/>
      <c r="L117" s="263"/>
      <c r="N117" s="178"/>
    </row>
    <row r="118" spans="1:14" s="182" customFormat="1" x14ac:dyDescent="0.25">
      <c r="A118" s="178"/>
      <c r="B118" s="547"/>
      <c r="C118" s="548"/>
      <c r="D118" s="549"/>
      <c r="E118" s="549"/>
      <c r="F118" s="549"/>
      <c r="G118" s="178"/>
      <c r="H118" s="687"/>
      <c r="I118" s="178"/>
      <c r="J118" s="185"/>
      <c r="K118" s="185"/>
      <c r="L118" s="263"/>
      <c r="N118" s="178"/>
    </row>
    <row r="119" spans="1:14" s="182" customFormat="1" x14ac:dyDescent="0.25">
      <c r="A119" s="178"/>
      <c r="B119" s="547"/>
      <c r="C119" s="548"/>
      <c r="D119" s="549"/>
      <c r="E119" s="549"/>
      <c r="F119" s="549"/>
      <c r="G119" s="178"/>
      <c r="H119" s="687"/>
      <c r="I119" s="178"/>
      <c r="J119" s="185"/>
      <c r="K119" s="185"/>
      <c r="L119" s="263"/>
      <c r="N119" s="178"/>
    </row>
    <row r="120" spans="1:14" s="182" customFormat="1" x14ac:dyDescent="0.25">
      <c r="A120" s="178"/>
      <c r="B120" s="547"/>
      <c r="C120" s="548"/>
      <c r="D120" s="549"/>
      <c r="E120" s="549"/>
      <c r="F120" s="549"/>
      <c r="G120" s="178"/>
      <c r="H120" s="687"/>
      <c r="I120" s="178"/>
      <c r="J120" s="185"/>
      <c r="K120" s="185"/>
      <c r="L120" s="263"/>
      <c r="N120" s="178"/>
    </row>
    <row r="121" spans="1:14" s="182" customFormat="1" x14ac:dyDescent="0.25">
      <c r="A121" s="178"/>
      <c r="B121" s="547"/>
      <c r="C121" s="548"/>
      <c r="D121" s="549"/>
      <c r="E121" s="549"/>
      <c r="F121" s="549"/>
      <c r="G121" s="178"/>
      <c r="H121" s="687"/>
      <c r="I121" s="178"/>
      <c r="J121" s="185"/>
      <c r="K121" s="185"/>
      <c r="L121" s="263"/>
      <c r="N121" s="178"/>
    </row>
    <row r="122" spans="1:14" s="182" customFormat="1" x14ac:dyDescent="0.25">
      <c r="A122" s="178"/>
      <c r="B122" s="547"/>
      <c r="C122" s="548"/>
      <c r="D122" s="549"/>
      <c r="E122" s="549"/>
      <c r="F122" s="549"/>
      <c r="G122" s="178"/>
      <c r="H122" s="687"/>
      <c r="I122" s="178"/>
      <c r="J122" s="185"/>
      <c r="K122" s="185"/>
      <c r="L122" s="263"/>
      <c r="N122" s="178"/>
    </row>
    <row r="123" spans="1:14" s="182" customFormat="1" x14ac:dyDescent="0.25">
      <c r="A123" s="178"/>
      <c r="B123" s="547"/>
      <c r="C123" s="548"/>
      <c r="D123" s="549"/>
      <c r="E123" s="549"/>
      <c r="F123" s="549"/>
      <c r="G123" s="178"/>
      <c r="H123" s="687"/>
      <c r="I123" s="178"/>
      <c r="J123" s="185"/>
      <c r="K123" s="185"/>
      <c r="L123" s="263"/>
      <c r="N123" s="178"/>
    </row>
    <row r="124" spans="1:14" s="182" customFormat="1" x14ac:dyDescent="0.25">
      <c r="A124" s="178"/>
      <c r="B124" s="547"/>
      <c r="C124" s="548"/>
      <c r="D124" s="549"/>
      <c r="E124" s="549"/>
      <c r="F124" s="549"/>
      <c r="G124" s="178"/>
      <c r="H124" s="687"/>
      <c r="I124" s="178"/>
      <c r="J124" s="185"/>
      <c r="K124" s="185"/>
      <c r="L124" s="263"/>
      <c r="N124" s="178"/>
    </row>
    <row r="125" spans="1:14" s="182" customFormat="1" x14ac:dyDescent="0.25">
      <c r="A125" s="178"/>
      <c r="B125" s="547"/>
      <c r="C125" s="548"/>
      <c r="D125" s="549"/>
      <c r="E125" s="549"/>
      <c r="F125" s="549"/>
      <c r="G125" s="178"/>
      <c r="H125" s="687"/>
      <c r="I125" s="178"/>
      <c r="J125" s="185"/>
      <c r="K125" s="185"/>
      <c r="L125" s="263"/>
      <c r="N125" s="178"/>
    </row>
    <row r="126" spans="1:14" s="182" customFormat="1" x14ac:dyDescent="0.25">
      <c r="A126" s="178"/>
      <c r="B126" s="547"/>
      <c r="C126" s="548"/>
      <c r="D126" s="549"/>
      <c r="E126" s="549"/>
      <c r="F126" s="549"/>
      <c r="G126" s="178"/>
      <c r="H126" s="687"/>
      <c r="I126" s="178"/>
      <c r="J126" s="185"/>
      <c r="K126" s="185"/>
      <c r="L126" s="263"/>
      <c r="N126" s="178"/>
    </row>
    <row r="127" spans="1:14" s="182" customFormat="1" x14ac:dyDescent="0.25">
      <c r="A127" s="178"/>
      <c r="B127" s="547"/>
      <c r="C127" s="548"/>
      <c r="D127" s="549"/>
      <c r="E127" s="549"/>
      <c r="F127" s="549"/>
      <c r="G127" s="178"/>
      <c r="H127" s="687"/>
      <c r="I127" s="178"/>
      <c r="J127" s="185"/>
      <c r="K127" s="185"/>
      <c r="L127" s="263"/>
      <c r="N127" s="178"/>
    </row>
    <row r="128" spans="1:14" s="182" customFormat="1" x14ac:dyDescent="0.25">
      <c r="A128" s="178"/>
      <c r="B128" s="547"/>
      <c r="C128" s="548"/>
      <c r="D128" s="549"/>
      <c r="E128" s="549"/>
      <c r="F128" s="549"/>
      <c r="G128" s="178"/>
      <c r="H128" s="687"/>
      <c r="I128" s="178"/>
      <c r="J128" s="185"/>
      <c r="K128" s="185"/>
      <c r="L128" s="263"/>
      <c r="N128" s="178"/>
    </row>
    <row r="129" spans="1:14" s="182" customFormat="1" x14ac:dyDescent="0.25">
      <c r="A129" s="178"/>
      <c r="B129" s="547"/>
      <c r="C129" s="548"/>
      <c r="D129" s="549"/>
      <c r="E129" s="549"/>
      <c r="F129" s="549"/>
      <c r="G129" s="178"/>
      <c r="H129" s="687"/>
      <c r="I129" s="178"/>
      <c r="J129" s="185"/>
      <c r="K129" s="185"/>
      <c r="L129" s="263"/>
      <c r="N129" s="178"/>
    </row>
    <row r="130" spans="1:14" s="182" customFormat="1" x14ac:dyDescent="0.25">
      <c r="A130" s="178"/>
      <c r="B130" s="547"/>
      <c r="C130" s="548"/>
      <c r="D130" s="549"/>
      <c r="E130" s="549"/>
      <c r="F130" s="549"/>
      <c r="G130" s="178"/>
      <c r="H130" s="687"/>
      <c r="I130" s="178"/>
      <c r="J130" s="185"/>
      <c r="K130" s="185"/>
      <c r="L130" s="263"/>
      <c r="N130" s="178"/>
    </row>
    <row r="131" spans="1:14" s="182" customFormat="1" x14ac:dyDescent="0.25">
      <c r="A131" s="178"/>
      <c r="B131" s="547"/>
      <c r="C131" s="548"/>
      <c r="D131" s="549"/>
      <c r="E131" s="549"/>
      <c r="F131" s="549"/>
      <c r="G131" s="178"/>
      <c r="H131" s="687"/>
      <c r="I131" s="178"/>
      <c r="J131" s="185"/>
      <c r="K131" s="185"/>
      <c r="L131" s="263"/>
      <c r="N131" s="178"/>
    </row>
    <row r="132" spans="1:14" s="182" customFormat="1" x14ac:dyDescent="0.25">
      <c r="A132" s="178"/>
      <c r="B132" s="547"/>
      <c r="C132" s="548"/>
      <c r="D132" s="549"/>
      <c r="E132" s="549"/>
      <c r="F132" s="549"/>
      <c r="G132" s="178"/>
      <c r="H132" s="687"/>
      <c r="I132" s="178"/>
      <c r="J132" s="185"/>
      <c r="K132" s="185"/>
      <c r="L132" s="263"/>
      <c r="N132" s="178"/>
    </row>
    <row r="133" spans="1:14" s="182" customFormat="1" x14ac:dyDescent="0.25">
      <c r="A133" s="178"/>
      <c r="B133" s="547"/>
      <c r="C133" s="548"/>
      <c r="D133" s="549"/>
      <c r="E133" s="549"/>
      <c r="F133" s="549"/>
      <c r="G133" s="178"/>
      <c r="H133" s="687"/>
      <c r="I133" s="178"/>
      <c r="J133" s="185"/>
      <c r="K133" s="185"/>
      <c r="L133" s="263"/>
      <c r="N133" s="178"/>
    </row>
    <row r="134" spans="1:14" s="182" customFormat="1" x14ac:dyDescent="0.25">
      <c r="A134" s="178"/>
      <c r="B134" s="547"/>
      <c r="C134" s="548"/>
      <c r="D134" s="549"/>
      <c r="E134" s="549"/>
      <c r="F134" s="549"/>
      <c r="G134" s="178"/>
      <c r="H134" s="687"/>
      <c r="I134" s="178"/>
      <c r="J134" s="185"/>
      <c r="K134" s="185"/>
      <c r="L134" s="263"/>
      <c r="N134" s="178"/>
    </row>
    <row r="135" spans="1:14" s="182" customFormat="1" x14ac:dyDescent="0.25">
      <c r="A135" s="178"/>
      <c r="B135" s="547"/>
      <c r="C135" s="548"/>
      <c r="D135" s="549"/>
      <c r="E135" s="549"/>
      <c r="F135" s="549"/>
      <c r="G135" s="178"/>
      <c r="H135" s="687"/>
      <c r="I135" s="178"/>
      <c r="J135" s="185"/>
      <c r="K135" s="185"/>
      <c r="L135" s="263"/>
      <c r="N135" s="178"/>
    </row>
    <row r="136" spans="1:14" s="182" customFormat="1" x14ac:dyDescent="0.25">
      <c r="A136" s="178"/>
      <c r="B136" s="547"/>
      <c r="C136" s="548"/>
      <c r="D136" s="549"/>
      <c r="E136" s="549"/>
      <c r="F136" s="549"/>
      <c r="G136" s="178"/>
      <c r="H136" s="687"/>
      <c r="I136" s="178"/>
      <c r="J136" s="185"/>
      <c r="K136" s="185"/>
      <c r="L136" s="263"/>
      <c r="N136" s="178"/>
    </row>
    <row r="137" spans="1:14" s="182" customFormat="1" x14ac:dyDescent="0.25">
      <c r="A137" s="178"/>
      <c r="B137" s="547"/>
      <c r="C137" s="548"/>
      <c r="D137" s="549"/>
      <c r="E137" s="549"/>
      <c r="F137" s="549"/>
      <c r="G137" s="178"/>
      <c r="H137" s="687"/>
      <c r="I137" s="178"/>
      <c r="J137" s="185"/>
      <c r="K137" s="185"/>
      <c r="L137" s="263"/>
      <c r="N137" s="178"/>
    </row>
    <row r="138" spans="1:14" s="182" customFormat="1" x14ac:dyDescent="0.25">
      <c r="A138" s="178"/>
      <c r="B138" s="547"/>
      <c r="C138" s="548"/>
      <c r="D138" s="549"/>
      <c r="E138" s="549"/>
      <c r="F138" s="549"/>
      <c r="G138" s="178"/>
      <c r="H138" s="687"/>
      <c r="I138" s="178"/>
      <c r="J138" s="185"/>
      <c r="K138" s="185"/>
      <c r="L138" s="263"/>
      <c r="N138" s="178"/>
    </row>
    <row r="139" spans="1:14" s="182" customFormat="1" x14ac:dyDescent="0.25">
      <c r="A139" s="178"/>
      <c r="B139" s="547"/>
      <c r="C139" s="548"/>
      <c r="D139" s="549"/>
      <c r="E139" s="549"/>
      <c r="F139" s="549"/>
      <c r="G139" s="178"/>
      <c r="H139" s="687"/>
      <c r="I139" s="178"/>
      <c r="J139" s="185"/>
      <c r="K139" s="185"/>
      <c r="L139" s="263"/>
      <c r="N139" s="178"/>
    </row>
    <row r="140" spans="1:14" s="182" customFormat="1" x14ac:dyDescent="0.25">
      <c r="A140" s="178"/>
      <c r="B140" s="547"/>
      <c r="C140" s="548"/>
      <c r="D140" s="549"/>
      <c r="E140" s="549"/>
      <c r="F140" s="549"/>
      <c r="G140" s="178"/>
      <c r="H140" s="687"/>
      <c r="I140" s="178"/>
      <c r="J140" s="185"/>
      <c r="K140" s="185"/>
      <c r="L140" s="263"/>
      <c r="N140" s="178"/>
    </row>
    <row r="141" spans="1:14" s="182" customFormat="1" x14ac:dyDescent="0.25">
      <c r="A141" s="178"/>
      <c r="B141" s="547"/>
      <c r="C141" s="548"/>
      <c r="D141" s="549"/>
      <c r="E141" s="549"/>
      <c r="F141" s="549"/>
      <c r="G141" s="178"/>
      <c r="H141" s="687"/>
      <c r="I141" s="178"/>
      <c r="J141" s="185"/>
      <c r="K141" s="185"/>
      <c r="L141" s="263"/>
      <c r="N141" s="178"/>
    </row>
    <row r="142" spans="1:14" s="182" customFormat="1" x14ac:dyDescent="0.25">
      <c r="A142" s="178"/>
      <c r="B142" s="547"/>
      <c r="C142" s="548"/>
      <c r="D142" s="549"/>
      <c r="E142" s="549"/>
      <c r="F142" s="549"/>
      <c r="G142" s="178"/>
      <c r="H142" s="687"/>
      <c r="I142" s="178"/>
      <c r="J142" s="185"/>
      <c r="K142" s="185"/>
      <c r="L142" s="263"/>
      <c r="N142" s="178"/>
    </row>
    <row r="143" spans="1:14" s="182" customFormat="1" x14ac:dyDescent="0.25">
      <c r="A143" s="178"/>
      <c r="B143" s="547"/>
      <c r="C143" s="548"/>
      <c r="D143" s="549"/>
      <c r="E143" s="549"/>
      <c r="F143" s="549"/>
      <c r="G143" s="178"/>
      <c r="H143" s="687"/>
      <c r="I143" s="178"/>
      <c r="J143" s="185"/>
      <c r="K143" s="185"/>
      <c r="L143" s="263"/>
      <c r="N143" s="178"/>
    </row>
    <row r="144" spans="1:14" s="182" customFormat="1" x14ac:dyDescent="0.25">
      <c r="A144" s="178"/>
      <c r="B144" s="547"/>
      <c r="C144" s="548"/>
      <c r="D144" s="549"/>
      <c r="E144" s="549"/>
      <c r="F144" s="549"/>
      <c r="G144" s="178"/>
      <c r="H144" s="687"/>
      <c r="I144" s="178"/>
      <c r="J144" s="185"/>
      <c r="K144" s="185"/>
      <c r="L144" s="263"/>
      <c r="N144" s="178"/>
    </row>
    <row r="145" spans="1:14" s="182" customFormat="1" x14ac:dyDescent="0.25">
      <c r="A145" s="178"/>
      <c r="B145" s="547"/>
      <c r="C145" s="548"/>
      <c r="D145" s="549"/>
      <c r="E145" s="549"/>
      <c r="F145" s="549"/>
      <c r="G145" s="178"/>
      <c r="H145" s="687"/>
      <c r="I145" s="178"/>
      <c r="J145" s="185"/>
      <c r="K145" s="185"/>
      <c r="L145" s="263"/>
      <c r="N145" s="178"/>
    </row>
    <row r="146" spans="1:14" s="182" customFormat="1" x14ac:dyDescent="0.25">
      <c r="A146" s="178"/>
      <c r="B146" s="547"/>
      <c r="C146" s="548"/>
      <c r="D146" s="549"/>
      <c r="E146" s="549"/>
      <c r="F146" s="549"/>
      <c r="G146" s="178"/>
      <c r="H146" s="687"/>
      <c r="I146" s="178"/>
      <c r="J146" s="185"/>
      <c r="K146" s="185"/>
      <c r="L146" s="263"/>
      <c r="N146" s="178"/>
    </row>
    <row r="147" spans="1:14" s="182" customFormat="1" x14ac:dyDescent="0.25">
      <c r="A147" s="178"/>
      <c r="B147" s="547"/>
      <c r="C147" s="548"/>
      <c r="D147" s="549"/>
      <c r="E147" s="549"/>
      <c r="F147" s="549"/>
      <c r="G147" s="178"/>
      <c r="H147" s="687"/>
      <c r="I147" s="178"/>
      <c r="J147" s="185"/>
      <c r="K147" s="185"/>
      <c r="L147" s="263"/>
      <c r="N147" s="178"/>
    </row>
    <row r="148" spans="1:14" s="182" customFormat="1" x14ac:dyDescent="0.25">
      <c r="A148" s="178"/>
      <c r="B148" s="547"/>
      <c r="C148" s="548"/>
      <c r="D148" s="549"/>
      <c r="E148" s="549"/>
      <c r="F148" s="549"/>
      <c r="G148" s="178"/>
      <c r="H148" s="687"/>
      <c r="I148" s="178"/>
      <c r="J148" s="185"/>
      <c r="K148" s="185"/>
      <c r="L148" s="263"/>
      <c r="N148" s="178"/>
    </row>
    <row r="149" spans="1:14" s="182" customFormat="1" x14ac:dyDescent="0.25">
      <c r="A149" s="178"/>
      <c r="B149" s="547"/>
      <c r="C149" s="548"/>
      <c r="D149" s="549"/>
      <c r="E149" s="549"/>
      <c r="F149" s="549"/>
      <c r="G149" s="178"/>
      <c r="H149" s="687"/>
      <c r="I149" s="178"/>
      <c r="J149" s="185"/>
      <c r="K149" s="185"/>
      <c r="L149" s="263"/>
      <c r="N149" s="178"/>
    </row>
    <row r="150" spans="1:14" s="182" customFormat="1" x14ac:dyDescent="0.25">
      <c r="A150" s="178"/>
      <c r="B150" s="547"/>
      <c r="C150" s="548"/>
      <c r="D150" s="549"/>
      <c r="E150" s="549"/>
      <c r="F150" s="549"/>
      <c r="G150" s="178"/>
      <c r="H150" s="687"/>
      <c r="I150" s="178"/>
      <c r="J150" s="185"/>
      <c r="K150" s="185"/>
      <c r="L150" s="263"/>
      <c r="N150" s="178"/>
    </row>
    <row r="151" spans="1:14" s="182" customFormat="1" x14ac:dyDescent="0.25">
      <c r="A151" s="178"/>
      <c r="B151" s="547"/>
      <c r="C151" s="548"/>
      <c r="D151" s="549"/>
      <c r="E151" s="549"/>
      <c r="F151" s="549"/>
      <c r="G151" s="178"/>
      <c r="H151" s="687"/>
      <c r="I151" s="178"/>
      <c r="J151" s="185"/>
      <c r="K151" s="185"/>
      <c r="L151" s="263"/>
      <c r="N151" s="178"/>
    </row>
    <row r="152" spans="1:14" s="182" customFormat="1" x14ac:dyDescent="0.25">
      <c r="A152" s="178"/>
      <c r="B152" s="547"/>
      <c r="C152" s="548"/>
      <c r="D152" s="549"/>
      <c r="E152" s="549"/>
      <c r="F152" s="549"/>
      <c r="G152" s="178"/>
      <c r="H152" s="687"/>
      <c r="I152" s="178"/>
      <c r="J152" s="185"/>
      <c r="K152" s="185"/>
      <c r="L152" s="263"/>
      <c r="N152" s="178"/>
    </row>
    <row r="153" spans="1:14" s="182" customFormat="1" x14ac:dyDescent="0.25">
      <c r="A153" s="178"/>
      <c r="B153" s="547"/>
      <c r="C153" s="548"/>
      <c r="D153" s="549"/>
      <c r="E153" s="549"/>
      <c r="F153" s="549"/>
      <c r="G153" s="178"/>
      <c r="H153" s="687"/>
      <c r="I153" s="178"/>
      <c r="J153" s="185"/>
      <c r="K153" s="185"/>
      <c r="L153" s="263"/>
      <c r="N153" s="178"/>
    </row>
    <row r="154" spans="1:14" s="182" customFormat="1" x14ac:dyDescent="0.25">
      <c r="A154" s="178"/>
      <c r="B154" s="547"/>
      <c r="C154" s="548"/>
      <c r="D154" s="549"/>
      <c r="E154" s="549"/>
      <c r="F154" s="549"/>
      <c r="G154" s="178"/>
      <c r="H154" s="687"/>
      <c r="I154" s="178"/>
      <c r="J154" s="185"/>
      <c r="K154" s="185"/>
      <c r="L154" s="263"/>
      <c r="N154" s="178"/>
    </row>
    <row r="155" spans="1:14" s="182" customFormat="1" x14ac:dyDescent="0.25">
      <c r="A155" s="178"/>
      <c r="B155" s="547"/>
      <c r="C155" s="548"/>
      <c r="D155" s="549"/>
      <c r="E155" s="549"/>
      <c r="F155" s="549"/>
      <c r="G155" s="178"/>
      <c r="H155" s="687"/>
      <c r="I155" s="178"/>
      <c r="J155" s="185"/>
      <c r="K155" s="185"/>
      <c r="L155" s="263"/>
      <c r="N155" s="178"/>
    </row>
    <row r="156" spans="1:14" s="182" customFormat="1" x14ac:dyDescent="0.25">
      <c r="A156" s="178"/>
      <c r="B156" s="547"/>
      <c r="C156" s="548"/>
      <c r="D156" s="549"/>
      <c r="E156" s="549"/>
      <c r="F156" s="549"/>
      <c r="G156" s="178"/>
      <c r="H156" s="687"/>
      <c r="I156" s="178"/>
      <c r="J156" s="185"/>
      <c r="K156" s="185"/>
      <c r="L156" s="263"/>
      <c r="N156" s="178"/>
    </row>
    <row r="157" spans="1:14" s="182" customFormat="1" x14ac:dyDescent="0.25">
      <c r="A157" s="178"/>
      <c r="B157" s="547"/>
      <c r="C157" s="548"/>
      <c r="D157" s="549"/>
      <c r="E157" s="549"/>
      <c r="F157" s="549"/>
      <c r="G157" s="178"/>
      <c r="H157" s="687"/>
      <c r="I157" s="178"/>
      <c r="J157" s="185"/>
      <c r="K157" s="185"/>
      <c r="L157" s="263"/>
      <c r="N157" s="178"/>
    </row>
    <row r="158" spans="1:14" s="182" customFormat="1" x14ac:dyDescent="0.25">
      <c r="A158" s="178"/>
      <c r="B158" s="547"/>
      <c r="C158" s="548"/>
      <c r="D158" s="549"/>
      <c r="E158" s="549"/>
      <c r="F158" s="549"/>
      <c r="G158" s="178"/>
      <c r="H158" s="687"/>
      <c r="I158" s="178"/>
      <c r="J158" s="185"/>
      <c r="K158" s="185"/>
      <c r="L158" s="263"/>
      <c r="N158" s="178"/>
    </row>
    <row r="159" spans="1:14" s="182" customFormat="1" x14ac:dyDescent="0.25">
      <c r="A159" s="178"/>
      <c r="B159" s="547"/>
      <c r="C159" s="548"/>
      <c r="D159" s="549"/>
      <c r="E159" s="549"/>
      <c r="F159" s="549"/>
      <c r="G159" s="178"/>
      <c r="H159" s="687"/>
      <c r="I159" s="178"/>
      <c r="J159" s="185"/>
      <c r="K159" s="185"/>
      <c r="L159" s="263"/>
      <c r="N159" s="178"/>
    </row>
    <row r="160" spans="1:14" s="182" customFormat="1" x14ac:dyDescent="0.25">
      <c r="A160" s="178"/>
      <c r="B160" s="547"/>
      <c r="C160" s="548"/>
      <c r="D160" s="549"/>
      <c r="E160" s="549"/>
      <c r="F160" s="549"/>
      <c r="G160" s="178"/>
      <c r="H160" s="687"/>
      <c r="I160" s="178"/>
      <c r="J160" s="185"/>
      <c r="K160" s="185"/>
      <c r="L160" s="263"/>
      <c r="N160" s="178"/>
    </row>
    <row r="161" spans="1:14" s="182" customFormat="1" x14ac:dyDescent="0.25">
      <c r="A161" s="178"/>
      <c r="B161" s="547"/>
      <c r="C161" s="548"/>
      <c r="D161" s="549"/>
      <c r="E161" s="549"/>
      <c r="F161" s="549"/>
      <c r="G161" s="178"/>
      <c r="H161" s="687"/>
      <c r="I161" s="178"/>
      <c r="J161" s="185"/>
      <c r="K161" s="185"/>
      <c r="L161" s="263"/>
      <c r="N161" s="178"/>
    </row>
    <row r="162" spans="1:14" s="182" customFormat="1" x14ac:dyDescent="0.25">
      <c r="A162" s="178"/>
      <c r="B162" s="547"/>
      <c r="C162" s="548"/>
      <c r="D162" s="549"/>
      <c r="E162" s="549"/>
      <c r="F162" s="549"/>
      <c r="G162" s="178"/>
      <c r="H162" s="687"/>
      <c r="I162" s="178"/>
      <c r="J162" s="185"/>
      <c r="K162" s="185"/>
      <c r="L162" s="263"/>
      <c r="N162" s="178"/>
    </row>
    <row r="163" spans="1:14" s="182" customFormat="1" x14ac:dyDescent="0.25">
      <c r="A163" s="178"/>
      <c r="B163" s="547"/>
      <c r="C163" s="548"/>
      <c r="D163" s="549"/>
      <c r="E163" s="549"/>
      <c r="F163" s="549"/>
      <c r="G163" s="178"/>
      <c r="H163" s="687"/>
      <c r="I163" s="178"/>
      <c r="J163" s="185"/>
      <c r="K163" s="185"/>
      <c r="L163" s="263"/>
      <c r="N163" s="178"/>
    </row>
    <row r="164" spans="1:14" s="182" customFormat="1" x14ac:dyDescent="0.25">
      <c r="A164" s="178"/>
      <c r="B164" s="547"/>
      <c r="C164" s="548"/>
      <c r="D164" s="549"/>
      <c r="E164" s="549"/>
      <c r="F164" s="549"/>
      <c r="G164" s="178"/>
      <c r="H164" s="687"/>
      <c r="I164" s="178"/>
      <c r="J164" s="185"/>
      <c r="K164" s="185"/>
      <c r="L164" s="263"/>
      <c r="N164" s="178"/>
    </row>
    <row r="165" spans="1:14" s="182" customFormat="1" x14ac:dyDescent="0.25">
      <c r="A165" s="178"/>
      <c r="B165" s="547"/>
      <c r="C165" s="548"/>
      <c r="D165" s="549"/>
      <c r="E165" s="549"/>
      <c r="F165" s="549"/>
      <c r="G165" s="178"/>
      <c r="H165" s="687"/>
      <c r="I165" s="178"/>
      <c r="J165" s="185"/>
      <c r="K165" s="185"/>
      <c r="L165" s="263"/>
      <c r="N165" s="178"/>
    </row>
    <row r="166" spans="1:14" s="182" customFormat="1" x14ac:dyDescent="0.25">
      <c r="A166" s="178"/>
      <c r="B166" s="547"/>
      <c r="C166" s="548"/>
      <c r="D166" s="549"/>
      <c r="E166" s="549"/>
      <c r="F166" s="549"/>
      <c r="G166" s="178"/>
      <c r="H166" s="687"/>
      <c r="I166" s="178"/>
      <c r="J166" s="185"/>
      <c r="K166" s="185"/>
      <c r="L166" s="263"/>
      <c r="N166" s="178"/>
    </row>
    <row r="167" spans="1:14" s="182" customFormat="1" x14ac:dyDescent="0.25">
      <c r="A167" s="178"/>
      <c r="B167" s="547"/>
      <c r="C167" s="548"/>
      <c r="D167" s="549"/>
      <c r="E167" s="549"/>
      <c r="F167" s="549"/>
      <c r="G167" s="178"/>
      <c r="H167" s="687"/>
      <c r="I167" s="178"/>
      <c r="J167" s="185"/>
      <c r="K167" s="185"/>
      <c r="L167" s="263"/>
      <c r="N167" s="178"/>
    </row>
    <row r="168" spans="1:14" s="182" customFormat="1" x14ac:dyDescent="0.25">
      <c r="A168" s="178"/>
      <c r="B168" s="547"/>
      <c r="C168" s="548"/>
      <c r="D168" s="549"/>
      <c r="E168" s="549"/>
      <c r="F168" s="549"/>
      <c r="G168" s="178"/>
      <c r="H168" s="687"/>
      <c r="I168" s="178"/>
      <c r="J168" s="185"/>
      <c r="K168" s="185"/>
      <c r="L168" s="263"/>
      <c r="N168" s="178"/>
    </row>
    <row r="169" spans="1:14" s="182" customFormat="1" x14ac:dyDescent="0.25">
      <c r="A169" s="178"/>
      <c r="B169" s="547"/>
      <c r="C169" s="548"/>
      <c r="D169" s="549"/>
      <c r="E169" s="549"/>
      <c r="F169" s="549"/>
      <c r="G169" s="178"/>
      <c r="H169" s="687"/>
      <c r="I169" s="178"/>
      <c r="J169" s="185"/>
      <c r="K169" s="185"/>
      <c r="L169" s="263"/>
      <c r="N169" s="178"/>
    </row>
    <row r="170" spans="1:14" s="182" customFormat="1" x14ac:dyDescent="0.25">
      <c r="A170" s="178"/>
      <c r="B170" s="547"/>
      <c r="C170" s="548"/>
      <c r="D170" s="549"/>
      <c r="E170" s="549"/>
      <c r="F170" s="549"/>
      <c r="G170" s="178"/>
      <c r="H170" s="687"/>
      <c r="I170" s="178"/>
      <c r="J170" s="185"/>
      <c r="K170" s="185"/>
      <c r="L170" s="263"/>
      <c r="N170" s="178"/>
    </row>
    <row r="171" spans="1:14" s="182" customFormat="1" x14ac:dyDescent="0.25">
      <c r="A171" s="178"/>
      <c r="B171" s="547"/>
      <c r="C171" s="548"/>
      <c r="D171" s="549"/>
      <c r="E171" s="549"/>
      <c r="F171" s="549"/>
      <c r="G171" s="178"/>
      <c r="H171" s="687"/>
      <c r="I171" s="178"/>
      <c r="J171" s="185"/>
      <c r="K171" s="185"/>
      <c r="L171" s="263"/>
      <c r="N171" s="178"/>
    </row>
    <row r="172" spans="1:14" s="182" customFormat="1" x14ac:dyDescent="0.25">
      <c r="A172" s="178"/>
      <c r="B172" s="547"/>
      <c r="C172" s="548"/>
      <c r="D172" s="549"/>
      <c r="E172" s="549"/>
      <c r="F172" s="549"/>
      <c r="G172" s="178"/>
      <c r="H172" s="687"/>
      <c r="I172" s="178"/>
      <c r="J172" s="185"/>
      <c r="K172" s="185"/>
      <c r="L172" s="263"/>
      <c r="N172" s="178"/>
    </row>
    <row r="173" spans="1:14" s="182" customFormat="1" x14ac:dyDescent="0.25">
      <c r="A173" s="178"/>
      <c r="B173" s="547"/>
      <c r="C173" s="548"/>
      <c r="D173" s="549"/>
      <c r="E173" s="549"/>
      <c r="F173" s="549"/>
      <c r="G173" s="178"/>
      <c r="H173" s="687"/>
      <c r="I173" s="178"/>
      <c r="J173" s="185"/>
      <c r="K173" s="185"/>
      <c r="L173" s="263"/>
      <c r="N173" s="178"/>
    </row>
    <row r="174" spans="1:14" s="182" customFormat="1" x14ac:dyDescent="0.25">
      <c r="A174" s="178"/>
      <c r="B174" s="547"/>
      <c r="C174" s="548"/>
      <c r="D174" s="549"/>
      <c r="E174" s="549"/>
      <c r="F174" s="549"/>
      <c r="G174" s="178"/>
      <c r="H174" s="687"/>
      <c r="I174" s="178"/>
      <c r="J174" s="185"/>
      <c r="K174" s="185"/>
      <c r="L174" s="263"/>
      <c r="N174" s="178"/>
    </row>
    <row r="175" spans="1:14" s="182" customFormat="1" x14ac:dyDescent="0.25">
      <c r="A175" s="178"/>
      <c r="B175" s="547"/>
      <c r="C175" s="548"/>
      <c r="D175" s="549"/>
      <c r="E175" s="549"/>
      <c r="F175" s="549"/>
      <c r="G175" s="178"/>
      <c r="H175" s="687"/>
      <c r="I175" s="178"/>
      <c r="J175" s="185"/>
      <c r="K175" s="185"/>
      <c r="L175" s="263"/>
      <c r="N175" s="178"/>
    </row>
    <row r="176" spans="1:14" s="182" customFormat="1" x14ac:dyDescent="0.25">
      <c r="A176" s="178"/>
      <c r="B176" s="547"/>
      <c r="C176" s="548"/>
      <c r="D176" s="549"/>
      <c r="E176" s="549"/>
      <c r="F176" s="549"/>
      <c r="G176" s="178"/>
      <c r="H176" s="687"/>
      <c r="I176" s="178"/>
      <c r="J176" s="185"/>
      <c r="K176" s="185"/>
      <c r="L176" s="263"/>
      <c r="N176" s="178"/>
    </row>
    <row r="177" spans="1:14" s="182" customFormat="1" x14ac:dyDescent="0.25">
      <c r="A177" s="178"/>
      <c r="B177" s="547"/>
      <c r="C177" s="548"/>
      <c r="D177" s="549"/>
      <c r="E177" s="549"/>
      <c r="F177" s="549"/>
      <c r="G177" s="178"/>
      <c r="H177" s="687"/>
      <c r="I177" s="178"/>
      <c r="J177" s="185"/>
      <c r="K177" s="185"/>
      <c r="L177" s="263"/>
      <c r="N177" s="178"/>
    </row>
    <row r="178" spans="1:14" s="182" customFormat="1" x14ac:dyDescent="0.25">
      <c r="A178" s="178"/>
      <c r="B178" s="547"/>
      <c r="C178" s="548"/>
      <c r="D178" s="549"/>
      <c r="E178" s="549"/>
      <c r="F178" s="549"/>
      <c r="G178" s="178"/>
      <c r="H178" s="687"/>
      <c r="I178" s="178"/>
      <c r="J178" s="185"/>
      <c r="K178" s="185"/>
      <c r="L178" s="263"/>
      <c r="N178" s="178"/>
    </row>
    <row r="179" spans="1:14" s="182" customFormat="1" x14ac:dyDescent="0.25">
      <c r="A179" s="178"/>
      <c r="B179" s="547"/>
      <c r="C179" s="548"/>
      <c r="D179" s="549"/>
      <c r="E179" s="549"/>
      <c r="F179" s="549"/>
      <c r="G179" s="178"/>
      <c r="H179" s="687"/>
      <c r="I179" s="178"/>
      <c r="J179" s="185"/>
      <c r="K179" s="185"/>
      <c r="L179" s="263"/>
      <c r="N179" s="178"/>
    </row>
    <row r="180" spans="1:14" s="182" customFormat="1" x14ac:dyDescent="0.25">
      <c r="A180" s="178"/>
      <c r="B180" s="547"/>
      <c r="C180" s="548"/>
      <c r="D180" s="549"/>
      <c r="E180" s="549"/>
      <c r="F180" s="549"/>
      <c r="G180" s="178"/>
      <c r="H180" s="687"/>
      <c r="I180" s="178"/>
      <c r="J180" s="185"/>
      <c r="K180" s="185"/>
      <c r="L180" s="263"/>
      <c r="N180" s="178"/>
    </row>
    <row r="181" spans="1:14" s="182" customFormat="1" x14ac:dyDescent="0.25">
      <c r="A181" s="178"/>
      <c r="B181" s="547"/>
      <c r="C181" s="548"/>
      <c r="D181" s="549"/>
      <c r="E181" s="549"/>
      <c r="F181" s="549"/>
      <c r="G181" s="178"/>
      <c r="H181" s="687"/>
      <c r="I181" s="178"/>
      <c r="J181" s="185"/>
      <c r="K181" s="185"/>
      <c r="L181" s="263"/>
      <c r="N181" s="178"/>
    </row>
  </sheetData>
  <sheetProtection algorithmName="SHA-512" hashValue="HbegWConn+vdx/izc9ueJJ9bFVFMYA3JbrsdyItBLO5F70/pYuMkH4ALJk0durtK8OvSUHEP6D7MI6xrcsD01g==" saltValue="OtRwQSd5J2NAo7RsSgWLWw==" spinCount="100000" sheet="1" objects="1" scenarios="1"/>
  <mergeCells count="3">
    <mergeCell ref="F3:H3"/>
    <mergeCell ref="F6:H6"/>
    <mergeCell ref="B7:H7"/>
  </mergeCells>
  <pageMargins left="0.43307086614173229" right="0.31496062992125984" top="0.43307086614173229" bottom="0.62992125984251968" header="0.35433070866141736" footer="0.31496062992125984"/>
  <pageSetup paperSize="9" scale="89"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A949B9CC-FA33-4181-A69C-8F284D0D525A}">
            <xm:f>AND(Home!$C$8=FALSE,$D14&lt;&gt;"P C Sum",$D14&lt;&gt;"PC Sum",$D14&lt;&gt;"P Sum",$D14&lt;&gt;"Prov Sum")</xm:f>
            <x14:dxf>
              <font>
                <color theme="0"/>
              </font>
            </x14:dxf>
          </x14:cfRule>
          <xm:sqref>G14:H60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A670E-DE46-4CFF-A504-5CA17F7BD7BF}">
  <sheetPr codeName="Sheet18">
    <tabColor theme="3" tint="0.59999389629810485"/>
  </sheetPr>
  <dimension ref="B1:M15"/>
  <sheetViews>
    <sheetView showGridLines="0" view="pageBreakPreview" topLeftCell="B1" zoomScale="115" zoomScaleNormal="100" zoomScaleSheetLayoutView="115" zoomScalePageLayoutView="150" workbookViewId="0">
      <selection activeCell="H9" sqref="H9"/>
    </sheetView>
  </sheetViews>
  <sheetFormatPr defaultColWidth="8.81640625" defaultRowHeight="12.5" x14ac:dyDescent="0.25"/>
  <cols>
    <col min="1" max="1" width="2" style="696" customWidth="1"/>
    <col min="2" max="2" width="8.453125" style="572" customWidth="1"/>
    <col min="3" max="3" width="55.81640625" style="717" customWidth="1"/>
    <col min="4" max="4" width="10.6328125" style="717" customWidth="1"/>
    <col min="5" max="5" width="31.453125" style="630" customWidth="1"/>
    <col min="6" max="6" width="1.453125" style="696" customWidth="1"/>
    <col min="7" max="7" width="4.1796875" style="696" customWidth="1"/>
    <col min="8" max="8" width="9.6328125" style="696" customWidth="1"/>
    <col min="9" max="9" width="11.1796875" style="697" customWidth="1"/>
    <col min="10" max="10" width="11.54296875" style="696" bestFit="1" customWidth="1"/>
    <col min="11" max="11" width="8.81640625" style="696"/>
    <col min="12" max="12" width="15.453125" style="696" customWidth="1"/>
    <col min="13" max="13" width="12.54296875" style="696" customWidth="1"/>
    <col min="14" max="14" width="9.1796875" style="696" customWidth="1"/>
    <col min="15" max="16384" width="8.81640625" style="696"/>
  </cols>
  <sheetData>
    <row r="1" spans="2:13" s="691" customFormat="1" ht="18" customHeight="1" x14ac:dyDescent="0.25">
      <c r="B1" s="688" t="str">
        <f>_Client1</f>
        <v>Province of KwaZulu-Natal</v>
      </c>
      <c r="C1" s="689"/>
      <c r="D1" s="778" t="s">
        <v>656</v>
      </c>
      <c r="E1" s="778"/>
      <c r="F1" s="200"/>
      <c r="G1" s="200"/>
      <c r="H1" s="573"/>
      <c r="I1" s="690"/>
      <c r="M1" s="573"/>
    </row>
    <row r="2" spans="2:13" s="691" customFormat="1" ht="16.5" customHeight="1" x14ac:dyDescent="0.25">
      <c r="B2" s="692" t="str">
        <f>_Client2</f>
        <v>Department of Transport</v>
      </c>
      <c r="C2" s="689"/>
      <c r="D2" s="689"/>
      <c r="E2" s="573"/>
      <c r="F2" s="573"/>
      <c r="G2" s="573"/>
      <c r="H2" s="573"/>
      <c r="I2" s="690"/>
      <c r="K2" s="693"/>
      <c r="L2" s="693"/>
      <c r="M2" s="573"/>
    </row>
    <row r="3" spans="2:13" s="691" customFormat="1" ht="13.5" customHeight="1" x14ac:dyDescent="0.25">
      <c r="B3" s="694"/>
      <c r="C3" s="689"/>
      <c r="D3" s="689"/>
      <c r="E3" s="573"/>
      <c r="F3" s="573"/>
      <c r="G3" s="573"/>
      <c r="H3" s="573"/>
      <c r="I3" s="690"/>
      <c r="K3" s="693"/>
      <c r="L3" s="693"/>
      <c r="M3" s="573"/>
    </row>
    <row r="4" spans="2:13" s="691" customFormat="1" ht="13.5" customHeight="1" x14ac:dyDescent="0.25">
      <c r="B4" s="694"/>
      <c r="C4" s="689"/>
      <c r="D4" s="689"/>
      <c r="E4" s="573"/>
      <c r="F4" s="573"/>
      <c r="G4" s="573"/>
      <c r="H4" s="573"/>
      <c r="I4" s="690"/>
      <c r="K4" s="693"/>
      <c r="L4" s="693"/>
      <c r="M4" s="573"/>
    </row>
    <row r="5" spans="2:13" ht="12.75" customHeight="1" x14ac:dyDescent="0.25">
      <c r="B5" s="779" t="str">
        <f>'[2]Sch D'!B6</f>
        <v>SCHEDULE D: DAYWORKS</v>
      </c>
      <c r="C5" s="780"/>
      <c r="D5" s="780"/>
      <c r="E5" s="780"/>
    </row>
    <row r="6" spans="2:13" ht="12.75" customHeight="1" x14ac:dyDescent="0.25">
      <c r="B6" s="698"/>
      <c r="C6" s="699"/>
      <c r="D6" s="699"/>
      <c r="E6" s="699"/>
    </row>
    <row r="7" spans="2:13" ht="12.75" customHeight="1" x14ac:dyDescent="0.25">
      <c r="B7" s="781" t="s">
        <v>49</v>
      </c>
      <c r="C7" s="781"/>
      <c r="D7" s="781"/>
      <c r="E7" s="781"/>
    </row>
    <row r="8" spans="2:13" ht="12.75" customHeight="1" x14ac:dyDescent="0.25">
      <c r="B8" s="700"/>
      <c r="C8" s="700"/>
      <c r="D8" s="700"/>
      <c r="E8" s="700"/>
    </row>
    <row r="9" spans="2:13" ht="25.5" customHeight="1" x14ac:dyDescent="0.25">
      <c r="B9" s="777" t="s">
        <v>657</v>
      </c>
      <c r="C9" s="777"/>
      <c r="D9" s="777"/>
      <c r="E9" s="777"/>
    </row>
    <row r="10" spans="2:13" ht="5.25" customHeight="1" thickBot="1" x14ac:dyDescent="0.3">
      <c r="B10" s="782"/>
      <c r="C10" s="782"/>
      <c r="D10" s="782"/>
      <c r="E10" s="782"/>
    </row>
    <row r="11" spans="2:13" s="695" customFormat="1" ht="25" customHeight="1" thickBot="1" x14ac:dyDescent="0.3">
      <c r="B11" s="701" t="s">
        <v>20</v>
      </c>
      <c r="C11" s="702" t="s">
        <v>1</v>
      </c>
      <c r="D11" s="703" t="s">
        <v>92</v>
      </c>
      <c r="E11" s="647" t="s">
        <v>5</v>
      </c>
      <c r="I11" s="704"/>
    </row>
    <row r="12" spans="2:13" ht="21" customHeight="1" x14ac:dyDescent="0.25">
      <c r="B12" s="705" t="str">
        <f>'[2]Sch D'!B11</f>
        <v>C1.2.8</v>
      </c>
      <c r="C12" s="706" t="str">
        <f>'[2]Sch D'!C11</f>
        <v>Dayworks</v>
      </c>
      <c r="D12" s="707"/>
      <c r="E12" s="708">
        <f>'Sch D'!H63</f>
        <v>0</v>
      </c>
      <c r="H12" s="695"/>
      <c r="I12" s="709"/>
    </row>
    <row r="13" spans="2:13" ht="9" customHeight="1" thickBot="1" x14ac:dyDescent="0.3">
      <c r="B13" s="710"/>
      <c r="C13" s="711"/>
      <c r="D13" s="712"/>
      <c r="E13" s="713"/>
      <c r="H13" s="695"/>
      <c r="I13" s="709"/>
    </row>
    <row r="14" spans="2:13" ht="23.5" customHeight="1" thickBot="1" x14ac:dyDescent="0.3">
      <c r="B14" s="714" t="str">
        <f>"TOTAL CARRIED FORWARD TO SUMMARY (Page C"&amp;_Summary&amp;")"</f>
        <v>TOTAL CARRIED FORWARD TO SUMMARY (Page C46)</v>
      </c>
      <c r="C14" s="715"/>
      <c r="D14" s="716"/>
      <c r="E14" s="142">
        <f>SUM(E12:E13)</f>
        <v>0</v>
      </c>
    </row>
    <row r="15" spans="2:13" x14ac:dyDescent="0.25">
      <c r="E15" s="669"/>
    </row>
  </sheetData>
  <sheetProtection algorithmName="SHA-512" hashValue="sSsgGG5gVeS59VQRcCsa+YfXwVqSpZYux9epGM3f0nJsz5sMOjMUSk4qb6voKAvaMUlkkg/4Ycl0B8NElG0Ttg==" saltValue="P+meoU6lpeMAcoqnfWca/A==" spinCount="100000" sheet="1" objects="1" scenarios="1"/>
  <mergeCells count="5">
    <mergeCell ref="D1:E1"/>
    <mergeCell ref="B5:E5"/>
    <mergeCell ref="B7:E7"/>
    <mergeCell ref="B10:E10"/>
    <mergeCell ref="B9:E9"/>
  </mergeCells>
  <pageMargins left="0.43307086614173229" right="0.31496062992125984" top="0.43307086614173229" bottom="0.62992125984251968" header="0.35433070866141736" footer="0.31496062992125984"/>
  <pageSetup paperSize="9" scale="89"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624D5-69F8-407B-BA7A-417804B16661}">
  <sheetPr codeName="Sheet21">
    <tabColor rgb="FF92D050"/>
  </sheetPr>
  <dimension ref="A1:Q175"/>
  <sheetViews>
    <sheetView showGridLines="0" view="pageBreakPreview" zoomScaleNormal="125" zoomScaleSheetLayoutView="100" zoomScalePageLayoutView="125" workbookViewId="0">
      <pane xSplit="5" ySplit="2" topLeftCell="F3" activePane="bottomRight" state="frozen"/>
      <selection activeCell="F47" sqref="F47"/>
      <selection pane="topRight" activeCell="F47" sqref="F47"/>
      <selection pane="bottomLeft" activeCell="F47" sqref="F47"/>
      <selection pane="bottomRight" activeCell="K6" sqref="K6"/>
    </sheetView>
  </sheetViews>
  <sheetFormatPr defaultColWidth="11.08984375" defaultRowHeight="11.5" x14ac:dyDescent="0.25"/>
  <cols>
    <col min="1" max="1" width="1.1796875" style="186" customWidth="1"/>
    <col min="2" max="2" width="7.453125" style="189" customWidth="1"/>
    <col min="3" max="3" width="41.1796875" style="186" customWidth="1"/>
    <col min="4" max="4" width="9" style="206" customWidth="1"/>
    <col min="5" max="5" width="4.453125" style="206" customWidth="1"/>
    <col min="6" max="6" width="13.453125" style="304" customWidth="1"/>
    <col min="7" max="7" width="13.54296875" style="305" customWidth="1"/>
    <col min="8" max="8" width="15.1796875" style="305" customWidth="1"/>
    <col min="9" max="9" width="1.1796875" style="186" customWidth="1"/>
    <col min="10" max="10" width="13.54296875" style="185" customWidth="1"/>
    <col min="11" max="12" width="14.1796875" style="185" customWidth="1"/>
    <col min="13" max="13" width="14.1796875" style="182" customWidth="1"/>
    <col min="14" max="16384" width="11.08984375" style="186"/>
  </cols>
  <sheetData>
    <row r="1" spans="1:17" x14ac:dyDescent="0.25">
      <c r="A1" s="178"/>
      <c r="B1" s="179"/>
      <c r="C1" s="180" t="s">
        <v>61</v>
      </c>
      <c r="D1" s="181"/>
      <c r="E1" s="181"/>
      <c r="F1" s="181"/>
      <c r="G1" s="182"/>
      <c r="H1" s="183">
        <f>MAX(H2:H202)</f>
        <v>31629428.206</v>
      </c>
      <c r="I1" s="184"/>
      <c r="O1" s="187"/>
      <c r="P1" s="188"/>
      <c r="Q1" s="189"/>
    </row>
    <row r="2" spans="1:17" x14ac:dyDescent="0.25">
      <c r="A2" s="182"/>
      <c r="B2" s="190"/>
      <c r="C2" s="191"/>
      <c r="D2" s="191"/>
      <c r="E2" s="191"/>
      <c r="F2" s="191"/>
      <c r="G2" s="191"/>
      <c r="H2" s="191"/>
      <c r="I2" s="192"/>
      <c r="J2" s="193"/>
      <c r="K2" s="193"/>
      <c r="L2" s="193"/>
      <c r="M2" s="193"/>
    </row>
    <row r="3" spans="1:17" s="182" customFormat="1" ht="12.25" customHeight="1" x14ac:dyDescent="0.25">
      <c r="B3" s="194" t="str">
        <f>[2]Home!$C$2</f>
        <v>Province of KwaZulu-Natal</v>
      </c>
      <c r="C3" s="180"/>
      <c r="D3" s="181"/>
      <c r="F3" s="778" t="s">
        <v>656</v>
      </c>
      <c r="G3" s="778"/>
      <c r="H3" s="778"/>
      <c r="I3" s="192"/>
      <c r="J3" s="185"/>
      <c r="K3" s="185"/>
      <c r="L3" s="185"/>
    </row>
    <row r="4" spans="1:17" s="182" customFormat="1" x14ac:dyDescent="0.25">
      <c r="B4" s="195" t="str">
        <f>[2]Home!$C$3</f>
        <v>Department of Transport</v>
      </c>
      <c r="C4" s="180"/>
      <c r="D4" s="181"/>
      <c r="E4" s="181"/>
      <c r="F4" s="181"/>
      <c r="H4" s="192"/>
      <c r="I4" s="192"/>
      <c r="J4" s="185"/>
      <c r="K4" s="185"/>
      <c r="L4" s="185"/>
    </row>
    <row r="6" spans="1:17" s="187" customFormat="1" x14ac:dyDescent="0.25">
      <c r="B6" s="196" t="s">
        <v>662</v>
      </c>
      <c r="C6" s="197"/>
      <c r="D6" s="198"/>
      <c r="E6" s="198"/>
      <c r="F6" s="768" t="s">
        <v>595</v>
      </c>
      <c r="G6" s="768"/>
      <c r="H6" s="769"/>
      <c r="J6" s="199"/>
      <c r="K6" s="199"/>
      <c r="L6" s="199"/>
      <c r="M6" s="200"/>
    </row>
    <row r="7" spans="1:17" s="187" customFormat="1" ht="26.75" customHeight="1" x14ac:dyDescent="0.25">
      <c r="B7" s="790" t="s">
        <v>657</v>
      </c>
      <c r="C7" s="787"/>
      <c r="D7" s="787"/>
      <c r="E7" s="787"/>
      <c r="F7" s="787"/>
      <c r="G7" s="787"/>
      <c r="H7" s="791"/>
      <c r="J7" s="201"/>
      <c r="K7" s="201"/>
      <c r="L7" s="201"/>
      <c r="M7" s="202"/>
    </row>
    <row r="8" spans="1:17" ht="8.15" customHeight="1" x14ac:dyDescent="0.25">
      <c r="B8" s="203"/>
      <c r="C8" s="204"/>
      <c r="D8" s="204"/>
      <c r="E8" s="204"/>
      <c r="F8" s="204"/>
      <c r="G8" s="204"/>
      <c r="H8" s="205"/>
      <c r="J8" s="201"/>
      <c r="K8" s="201"/>
      <c r="L8" s="201"/>
      <c r="M8" s="202"/>
    </row>
    <row r="9" spans="1:17" s="206" customFormat="1" ht="20.149999999999999" customHeight="1" x14ac:dyDescent="0.25">
      <c r="B9" s="207" t="s">
        <v>27</v>
      </c>
      <c r="C9" s="208" t="s">
        <v>1</v>
      </c>
      <c r="D9" s="208" t="s">
        <v>2</v>
      </c>
      <c r="E9" s="208" t="s">
        <v>30</v>
      </c>
      <c r="F9" s="209" t="s">
        <v>3</v>
      </c>
      <c r="G9" s="210" t="s">
        <v>4</v>
      </c>
      <c r="H9" s="210" t="s">
        <v>5</v>
      </c>
      <c r="J9" s="193"/>
      <c r="K9" s="193"/>
      <c r="L9" s="193"/>
      <c r="M9" s="211"/>
    </row>
    <row r="10" spans="1:17" ht="12" customHeight="1" x14ac:dyDescent="0.25">
      <c r="B10" s="212"/>
      <c r="C10" s="213"/>
      <c r="D10" s="213"/>
      <c r="E10" s="213"/>
      <c r="F10" s="214"/>
      <c r="G10" s="215"/>
      <c r="H10" s="216" t="str">
        <f t="shared" ref="H10:H35" si="0">IF(D10="","",F10*G10)</f>
        <v/>
      </c>
      <c r="J10" s="217"/>
      <c r="K10" s="218"/>
      <c r="L10" s="219"/>
      <c r="M10" s="220"/>
    </row>
    <row r="11" spans="1:17" ht="12" customHeight="1" x14ac:dyDescent="0.25">
      <c r="B11" s="221" t="s">
        <v>596</v>
      </c>
      <c r="C11" s="222" t="s">
        <v>599</v>
      </c>
      <c r="D11" s="213"/>
      <c r="E11" s="213"/>
      <c r="F11" s="223"/>
      <c r="G11" s="224"/>
      <c r="H11" s="225" t="str">
        <f t="shared" si="0"/>
        <v/>
      </c>
      <c r="I11" s="786"/>
      <c r="J11" s="217"/>
      <c r="K11" s="218"/>
      <c r="L11" s="219"/>
      <c r="M11" s="220"/>
    </row>
    <row r="12" spans="1:17" ht="12" customHeight="1" x14ac:dyDescent="0.25">
      <c r="B12" s="226"/>
      <c r="C12" s="227"/>
      <c r="D12" s="213"/>
      <c r="E12" s="213"/>
      <c r="F12" s="223"/>
      <c r="G12" s="224"/>
      <c r="H12" s="225" t="str">
        <f t="shared" si="0"/>
        <v/>
      </c>
      <c r="I12" s="786"/>
      <c r="J12" s="217"/>
      <c r="K12" s="218"/>
      <c r="L12" s="219"/>
      <c r="M12" s="220"/>
    </row>
    <row r="13" spans="1:17" ht="23" x14ac:dyDescent="0.25">
      <c r="B13" s="228" t="s">
        <v>660</v>
      </c>
      <c r="C13" s="229" t="s">
        <v>664</v>
      </c>
      <c r="D13" s="230"/>
      <c r="E13" s="230"/>
      <c r="F13" s="231"/>
      <c r="G13" s="232">
        <v>26154428.206</v>
      </c>
      <c r="H13" s="233" t="str">
        <f t="shared" si="0"/>
        <v/>
      </c>
      <c r="I13" s="189"/>
      <c r="J13" s="217"/>
      <c r="K13" s="218"/>
      <c r="L13" s="219"/>
      <c r="M13" s="220"/>
    </row>
    <row r="14" spans="1:17" x14ac:dyDescent="0.25">
      <c r="B14" s="234"/>
      <c r="C14" s="229"/>
      <c r="D14" s="230"/>
      <c r="E14" s="230"/>
      <c r="F14" s="231"/>
      <c r="G14" s="235"/>
      <c r="H14" s="233" t="str">
        <f t="shared" si="0"/>
        <v/>
      </c>
      <c r="J14" s="217"/>
      <c r="K14" s="218"/>
      <c r="L14" s="219"/>
      <c r="M14" s="220"/>
    </row>
    <row r="15" spans="1:17" ht="34.5" x14ac:dyDescent="0.25">
      <c r="B15" s="234"/>
      <c r="C15" s="229" t="s">
        <v>600</v>
      </c>
      <c r="D15" s="230" t="s">
        <v>6</v>
      </c>
      <c r="E15" s="230"/>
      <c r="F15" s="236">
        <f>G13</f>
        <v>26154428.206</v>
      </c>
      <c r="G15" s="168">
        <v>0</v>
      </c>
      <c r="H15" s="237">
        <f t="shared" si="0"/>
        <v>0</v>
      </c>
      <c r="J15" s="218"/>
      <c r="K15" s="218"/>
      <c r="L15" s="219"/>
      <c r="M15" s="220"/>
    </row>
    <row r="16" spans="1:17" x14ac:dyDescent="0.25">
      <c r="B16" s="234"/>
      <c r="C16" s="229"/>
      <c r="D16" s="230"/>
      <c r="E16" s="230"/>
      <c r="F16" s="231"/>
      <c r="G16" s="238"/>
      <c r="H16" s="233" t="str">
        <f t="shared" si="0"/>
        <v/>
      </c>
      <c r="J16" s="217"/>
      <c r="K16" s="218"/>
      <c r="L16" s="219"/>
      <c r="M16" s="220"/>
    </row>
    <row r="17" spans="2:13" ht="69" x14ac:dyDescent="0.25">
      <c r="B17" s="234"/>
      <c r="C17" s="229" t="s">
        <v>601</v>
      </c>
      <c r="D17" s="230" t="s">
        <v>35</v>
      </c>
      <c r="E17" s="230"/>
      <c r="F17" s="239">
        <v>12</v>
      </c>
      <c r="G17" s="171">
        <v>0</v>
      </c>
      <c r="H17" s="237">
        <f t="shared" si="0"/>
        <v>0</v>
      </c>
      <c r="J17" s="217"/>
      <c r="K17" s="218"/>
      <c r="L17" s="219"/>
      <c r="M17" s="220"/>
    </row>
    <row r="18" spans="2:13" x14ac:dyDescent="0.25">
      <c r="B18" s="234"/>
      <c r="C18" s="229"/>
      <c r="D18" s="230"/>
      <c r="E18" s="230"/>
      <c r="F18" s="239"/>
      <c r="G18" s="238"/>
      <c r="H18" s="233" t="str">
        <f t="shared" si="0"/>
        <v/>
      </c>
      <c r="J18" s="217"/>
      <c r="K18" s="218"/>
      <c r="L18" s="219"/>
      <c r="M18" s="220"/>
    </row>
    <row r="19" spans="2:13" ht="69" x14ac:dyDescent="0.25">
      <c r="B19" s="234"/>
      <c r="C19" s="229" t="s">
        <v>602</v>
      </c>
      <c r="D19" s="230" t="s">
        <v>35</v>
      </c>
      <c r="E19" s="230"/>
      <c r="F19" s="239">
        <v>6</v>
      </c>
      <c r="G19" s="171">
        <v>0</v>
      </c>
      <c r="H19" s="237">
        <f t="shared" si="0"/>
        <v>0</v>
      </c>
      <c r="J19" s="240"/>
      <c r="K19" s="218"/>
      <c r="L19" s="219"/>
      <c r="M19" s="220"/>
    </row>
    <row r="20" spans="2:13" x14ac:dyDescent="0.25">
      <c r="B20" s="234"/>
      <c r="C20" s="229"/>
      <c r="D20" s="230"/>
      <c r="E20" s="230"/>
      <c r="F20" s="239"/>
      <c r="G20" s="238"/>
      <c r="H20" s="233" t="str">
        <f t="shared" si="0"/>
        <v/>
      </c>
      <c r="J20" s="240"/>
      <c r="K20" s="218"/>
      <c r="L20" s="219"/>
      <c r="M20" s="220"/>
    </row>
    <row r="21" spans="2:13" ht="69" x14ac:dyDescent="0.25">
      <c r="B21" s="234"/>
      <c r="C21" s="229" t="s">
        <v>603</v>
      </c>
      <c r="D21" s="230" t="s">
        <v>35</v>
      </c>
      <c r="E21" s="230"/>
      <c r="F21" s="239">
        <v>4</v>
      </c>
      <c r="G21" s="171">
        <v>0</v>
      </c>
      <c r="H21" s="237">
        <f t="shared" si="0"/>
        <v>0</v>
      </c>
      <c r="J21" s="240"/>
      <c r="K21" s="218"/>
      <c r="L21" s="219"/>
      <c r="M21" s="220"/>
    </row>
    <row r="22" spans="2:13" x14ac:dyDescent="0.25">
      <c r="B22" s="234"/>
      <c r="C22" s="229"/>
      <c r="D22" s="230"/>
      <c r="E22" s="230"/>
      <c r="F22" s="239"/>
      <c r="G22" s="238"/>
      <c r="H22" s="233" t="str">
        <f t="shared" si="0"/>
        <v/>
      </c>
      <c r="J22" s="240"/>
      <c r="K22" s="218"/>
      <c r="L22" s="219"/>
      <c r="M22" s="220"/>
    </row>
    <row r="23" spans="2:13" ht="69" x14ac:dyDescent="0.25">
      <c r="B23" s="234"/>
      <c r="C23" s="229" t="s">
        <v>604</v>
      </c>
      <c r="D23" s="230" t="s">
        <v>35</v>
      </c>
      <c r="E23" s="230"/>
      <c r="F23" s="169">
        <v>1</v>
      </c>
      <c r="G23" s="171">
        <v>0</v>
      </c>
      <c r="H23" s="237">
        <f t="shared" si="0"/>
        <v>0</v>
      </c>
      <c r="J23" s="240"/>
      <c r="K23" s="218"/>
      <c r="L23" s="219"/>
      <c r="M23" s="220"/>
    </row>
    <row r="24" spans="2:13" x14ac:dyDescent="0.25">
      <c r="B24" s="234"/>
      <c r="C24" s="229"/>
      <c r="D24" s="230"/>
      <c r="E24" s="230"/>
      <c r="F24" s="239"/>
      <c r="G24" s="238"/>
      <c r="H24" s="233" t="str">
        <f t="shared" si="0"/>
        <v/>
      </c>
      <c r="J24" s="240"/>
      <c r="K24" s="218"/>
      <c r="L24" s="219"/>
      <c r="M24" s="220"/>
    </row>
    <row r="25" spans="2:13" ht="69" x14ac:dyDescent="0.25">
      <c r="B25" s="234"/>
      <c r="C25" s="229" t="s">
        <v>605</v>
      </c>
      <c r="D25" s="230" t="s">
        <v>35</v>
      </c>
      <c r="E25" s="230"/>
      <c r="F25" s="169">
        <v>1</v>
      </c>
      <c r="G25" s="171">
        <v>0</v>
      </c>
      <c r="H25" s="237">
        <f t="shared" si="0"/>
        <v>0</v>
      </c>
      <c r="J25" s="217"/>
      <c r="K25" s="218"/>
      <c r="L25" s="219"/>
      <c r="M25" s="220"/>
    </row>
    <row r="26" spans="2:13" x14ac:dyDescent="0.25">
      <c r="B26" s="234"/>
      <c r="C26" s="229"/>
      <c r="D26" s="230"/>
      <c r="E26" s="230"/>
      <c r="F26" s="239"/>
      <c r="G26" s="238"/>
      <c r="H26" s="233" t="str">
        <f t="shared" si="0"/>
        <v/>
      </c>
      <c r="J26" s="217"/>
      <c r="K26" s="218"/>
      <c r="L26" s="219"/>
      <c r="M26" s="220"/>
    </row>
    <row r="27" spans="2:13" ht="69" x14ac:dyDescent="0.25">
      <c r="B27" s="234"/>
      <c r="C27" s="229" t="s">
        <v>606</v>
      </c>
      <c r="D27" s="230" t="s">
        <v>35</v>
      </c>
      <c r="E27" s="230"/>
      <c r="F27" s="169">
        <v>1</v>
      </c>
      <c r="G27" s="171">
        <v>0</v>
      </c>
      <c r="H27" s="237">
        <f t="shared" si="0"/>
        <v>0</v>
      </c>
      <c r="J27" s="218"/>
      <c r="K27" s="218"/>
      <c r="L27" s="219"/>
      <c r="M27" s="220"/>
    </row>
    <row r="28" spans="2:13" x14ac:dyDescent="0.25">
      <c r="B28" s="234"/>
      <c r="C28" s="241"/>
      <c r="D28" s="230"/>
      <c r="E28" s="230"/>
      <c r="F28" s="239"/>
      <c r="G28" s="238"/>
      <c r="H28" s="233" t="str">
        <f t="shared" si="0"/>
        <v/>
      </c>
      <c r="J28" s="217"/>
      <c r="K28" s="218"/>
      <c r="L28" s="219"/>
      <c r="M28" s="220"/>
    </row>
    <row r="29" spans="2:13" x14ac:dyDescent="0.25">
      <c r="B29" s="234"/>
      <c r="C29" s="241"/>
      <c r="D29" s="230"/>
      <c r="E29" s="230"/>
      <c r="F29" s="231"/>
      <c r="G29" s="238"/>
      <c r="H29" s="233" t="str">
        <f t="shared" si="0"/>
        <v/>
      </c>
      <c r="J29" s="217"/>
      <c r="K29" s="218"/>
      <c r="L29" s="219"/>
      <c r="M29" s="220"/>
    </row>
    <row r="30" spans="2:13" ht="12" customHeight="1" x14ac:dyDescent="0.25">
      <c r="B30" s="228"/>
      <c r="C30" s="229"/>
      <c r="D30" s="230"/>
      <c r="E30" s="230"/>
      <c r="F30" s="231"/>
      <c r="G30" s="238"/>
      <c r="H30" s="233" t="str">
        <f t="shared" si="0"/>
        <v/>
      </c>
      <c r="J30" s="217"/>
      <c r="K30" s="218"/>
      <c r="L30" s="219"/>
      <c r="M30" s="220"/>
    </row>
    <row r="31" spans="2:13" ht="12" customHeight="1" x14ac:dyDescent="0.25">
      <c r="B31" s="234"/>
      <c r="C31" s="229"/>
      <c r="D31" s="230"/>
      <c r="E31" s="230"/>
      <c r="F31" s="231"/>
      <c r="G31" s="238"/>
      <c r="H31" s="233" t="str">
        <f t="shared" si="0"/>
        <v/>
      </c>
      <c r="J31" s="217"/>
      <c r="K31" s="218"/>
      <c r="L31" s="219"/>
      <c r="M31" s="220"/>
    </row>
    <row r="32" spans="2:13" ht="12" customHeight="1" x14ac:dyDescent="0.25">
      <c r="B32" s="234"/>
      <c r="C32" s="229"/>
      <c r="D32" s="213"/>
      <c r="E32" s="213"/>
      <c r="F32" s="223"/>
      <c r="G32" s="242"/>
      <c r="H32" s="225" t="str">
        <f t="shared" si="0"/>
        <v/>
      </c>
      <c r="J32" s="217"/>
      <c r="K32" s="218"/>
      <c r="L32" s="219"/>
      <c r="M32" s="220"/>
    </row>
    <row r="33" spans="2:15" ht="12" customHeight="1" x14ac:dyDescent="0.25">
      <c r="B33" s="234"/>
      <c r="C33" s="229"/>
      <c r="D33" s="213"/>
      <c r="E33" s="213"/>
      <c r="F33" s="223"/>
      <c r="G33" s="242"/>
      <c r="H33" s="225" t="str">
        <f t="shared" si="0"/>
        <v/>
      </c>
      <c r="J33" s="218"/>
      <c r="K33" s="218"/>
      <c r="L33" s="219"/>
      <c r="M33" s="220"/>
    </row>
    <row r="34" spans="2:15" ht="12" customHeight="1" x14ac:dyDescent="0.25">
      <c r="B34" s="234"/>
      <c r="C34" s="229"/>
      <c r="D34" s="213"/>
      <c r="E34" s="213"/>
      <c r="F34" s="223"/>
      <c r="G34" s="242"/>
      <c r="H34" s="225" t="str">
        <f t="shared" si="0"/>
        <v/>
      </c>
      <c r="J34" s="217"/>
      <c r="K34" s="218"/>
      <c r="L34" s="219"/>
      <c r="M34" s="220"/>
    </row>
    <row r="35" spans="2:15" s="247" customFormat="1" x14ac:dyDescent="0.25">
      <c r="B35" s="243"/>
      <c r="C35" s="229"/>
      <c r="D35" s="244"/>
      <c r="E35" s="244"/>
      <c r="F35" s="245"/>
      <c r="G35" s="246"/>
      <c r="H35" s="225" t="str">
        <f t="shared" si="0"/>
        <v/>
      </c>
      <c r="J35" s="217"/>
      <c r="K35" s="218"/>
      <c r="L35" s="219"/>
      <c r="M35" s="220"/>
    </row>
    <row r="36" spans="2:15" s="211" customFormat="1" ht="24.75" customHeight="1" x14ac:dyDescent="0.25">
      <c r="B36" s="248" t="str">
        <f>B11</f>
        <v>F1000</v>
      </c>
      <c r="C36" s="249" t="str">
        <f>"TOTAL CARRIED FORWARD"&amp;IF(H36=H$1," TO SUMMARY","")</f>
        <v>TOTAL CARRIED FORWARD</v>
      </c>
      <c r="D36" s="250"/>
      <c r="E36" s="250"/>
      <c r="F36" s="251"/>
      <c r="G36" s="252"/>
      <c r="H36" s="253">
        <f>SUM(H9:H35)</f>
        <v>0</v>
      </c>
      <c r="J36" s="254"/>
      <c r="K36" s="254"/>
      <c r="L36" s="255"/>
      <c r="M36" s="256"/>
    </row>
    <row r="37" spans="2:15" s="247" customFormat="1" ht="6" customHeight="1" x14ac:dyDescent="0.25">
      <c r="B37" s="257"/>
      <c r="C37" s="258"/>
      <c r="D37" s="259"/>
      <c r="E37" s="259"/>
      <c r="F37" s="260"/>
      <c r="G37" s="261"/>
      <c r="H37" s="262"/>
      <c r="J37" s="185"/>
      <c r="K37" s="185"/>
      <c r="L37" s="263"/>
      <c r="M37" s="182"/>
    </row>
    <row r="38" spans="2:15" s="182" customFormat="1" ht="18" customHeight="1" x14ac:dyDescent="0.25">
      <c r="B38" s="194" t="str">
        <f>B3</f>
        <v>Province of KwaZulu-Natal</v>
      </c>
      <c r="C38" s="180"/>
      <c r="D38" s="181"/>
      <c r="E38" s="181"/>
      <c r="F38" s="767" t="str">
        <f>F3</f>
        <v>Contract No. ZNB02642/00000/00/HOD/INF/25/T</v>
      </c>
      <c r="G38" s="767"/>
      <c r="H38" s="767"/>
      <c r="J38" s="264"/>
      <c r="K38" s="264"/>
      <c r="L38" s="265"/>
      <c r="M38" s="186"/>
      <c r="N38" s="181"/>
    </row>
    <row r="39" spans="2:15" s="182" customFormat="1" ht="16.5" customHeight="1" x14ac:dyDescent="0.25">
      <c r="B39" s="195" t="str">
        <f>B4</f>
        <v>Department of Transport</v>
      </c>
      <c r="C39" s="180"/>
      <c r="D39" s="181"/>
      <c r="E39" s="181"/>
      <c r="F39" s="181"/>
      <c r="G39" s="181"/>
      <c r="I39" s="192"/>
      <c r="J39" s="266"/>
      <c r="K39" s="264"/>
      <c r="L39" s="265"/>
      <c r="M39" s="186"/>
      <c r="N39" s="181"/>
    </row>
    <row r="40" spans="2:15" s="247" customFormat="1" ht="15" customHeight="1" x14ac:dyDescent="0.25">
      <c r="B40" s="267"/>
      <c r="C40" s="267"/>
      <c r="D40" s="268"/>
      <c r="E40" s="268"/>
      <c r="F40" s="269"/>
      <c r="G40" s="270"/>
      <c r="H40" s="271"/>
      <c r="J40" s="264"/>
      <c r="K40" s="264"/>
      <c r="L40" s="265"/>
      <c r="M40" s="186"/>
    </row>
    <row r="41" spans="2:15" s="247" customFormat="1" ht="18.75" customHeight="1" x14ac:dyDescent="0.25">
      <c r="B41" s="770" t="str">
        <f>B6</f>
        <v>SCHEDULE F: CONTRACT PARTICIPATION GOALS</v>
      </c>
      <c r="C41" s="787"/>
      <c r="D41" s="211"/>
      <c r="E41" s="211"/>
      <c r="F41" s="788" t="str">
        <f>F6</f>
        <v>SCHEDULE F</v>
      </c>
      <c r="G41" s="788"/>
      <c r="H41" s="789"/>
      <c r="J41" s="264"/>
      <c r="K41" s="264"/>
      <c r="L41" s="265"/>
      <c r="M41" s="186"/>
    </row>
    <row r="42" spans="2:15" s="247" customFormat="1" ht="24.75" customHeight="1" x14ac:dyDescent="0.25">
      <c r="B42" s="783" t="str">
        <f>B7</f>
        <v>COMPLETION OF PARTLY CONSTRUCTED ROAD, PRISM, DRAINAGE, LAYERWORKS AND SURFACING ON DISTRICT ROAD 1841, KM 4.50 TO KM 10.24 IN THE EMPANGENI REGION.</v>
      </c>
      <c r="C42" s="784"/>
      <c r="D42" s="784"/>
      <c r="E42" s="784"/>
      <c r="F42" s="784"/>
      <c r="G42" s="784"/>
      <c r="H42" s="785"/>
      <c r="J42" s="264"/>
      <c r="K42" s="264"/>
      <c r="L42" s="265"/>
      <c r="M42" s="186"/>
    </row>
    <row r="43" spans="2:15" s="247" customFormat="1" ht="24" customHeight="1" x14ac:dyDescent="0.25">
      <c r="B43" s="207" t="s">
        <v>27</v>
      </c>
      <c r="C43" s="208" t="s">
        <v>1</v>
      </c>
      <c r="D43" s="208" t="s">
        <v>2</v>
      </c>
      <c r="E43" s="208" t="s">
        <v>30</v>
      </c>
      <c r="F43" s="209" t="s">
        <v>3</v>
      </c>
      <c r="G43" s="210" t="s">
        <v>4</v>
      </c>
      <c r="H43" s="210" t="s">
        <v>5</v>
      </c>
      <c r="J43" s="193"/>
      <c r="K43" s="193"/>
      <c r="L43" s="272"/>
      <c r="M43" s="211"/>
    </row>
    <row r="44" spans="2:15" s="247" customFormat="1" ht="26.25" customHeight="1" x14ac:dyDescent="0.25">
      <c r="B44" s="273" t="s">
        <v>29</v>
      </c>
      <c r="C44" s="274"/>
      <c r="D44" s="275"/>
      <c r="E44" s="275"/>
      <c r="F44" s="276"/>
      <c r="G44" s="277"/>
      <c r="H44" s="253">
        <f>H36</f>
        <v>0</v>
      </c>
      <c r="J44" s="278"/>
      <c r="K44" s="279"/>
      <c r="L44" s="280"/>
      <c r="M44" s="281"/>
    </row>
    <row r="45" spans="2:15" ht="12" customHeight="1" x14ac:dyDescent="0.25">
      <c r="B45" s="234"/>
      <c r="C45" s="229"/>
      <c r="D45" s="230"/>
      <c r="E45" s="230"/>
      <c r="F45" s="231"/>
      <c r="G45" s="242"/>
      <c r="H45" s="225" t="str">
        <f t="shared" ref="H45:H88" si="1">IF(D45="","",F45*G45)</f>
        <v/>
      </c>
      <c r="J45" s="217"/>
      <c r="K45" s="218"/>
      <c r="L45" s="219"/>
      <c r="M45" s="220"/>
    </row>
    <row r="46" spans="2:15" x14ac:dyDescent="0.25">
      <c r="B46" s="228" t="s">
        <v>661</v>
      </c>
      <c r="C46" s="229" t="s">
        <v>607</v>
      </c>
      <c r="D46" s="213"/>
      <c r="E46" s="213"/>
      <c r="F46" s="223"/>
      <c r="G46" s="242"/>
      <c r="H46" s="225" t="str">
        <f t="shared" si="1"/>
        <v/>
      </c>
      <c r="J46" s="217"/>
      <c r="K46" s="218"/>
      <c r="L46" s="219"/>
      <c r="M46" s="220"/>
    </row>
    <row r="47" spans="2:15" ht="12" customHeight="1" x14ac:dyDescent="0.25">
      <c r="B47" s="228"/>
      <c r="C47" s="229"/>
      <c r="D47" s="213"/>
      <c r="E47" s="213"/>
      <c r="F47" s="223"/>
      <c r="G47" s="282" t="s">
        <v>629</v>
      </c>
      <c r="H47" s="283" t="str">
        <f t="shared" si="1"/>
        <v/>
      </c>
      <c r="J47" s="217"/>
      <c r="K47" s="218"/>
      <c r="L47" s="219"/>
      <c r="M47" s="220"/>
    </row>
    <row r="48" spans="2:15" ht="34.5" x14ac:dyDescent="0.25">
      <c r="B48" s="234"/>
      <c r="C48" s="229" t="s">
        <v>665</v>
      </c>
      <c r="D48" s="230" t="s">
        <v>608</v>
      </c>
      <c r="E48" s="230"/>
      <c r="F48" s="169">
        <v>1</v>
      </c>
      <c r="G48" s="236">
        <v>26154428.206</v>
      </c>
      <c r="H48" s="284">
        <f t="shared" si="1"/>
        <v>26154428.206</v>
      </c>
      <c r="J48" s="217"/>
      <c r="K48" s="218"/>
      <c r="L48" s="219"/>
      <c r="M48" s="285"/>
      <c r="O48" s="286"/>
    </row>
    <row r="49" spans="2:13" ht="12" customHeight="1" x14ac:dyDescent="0.25">
      <c r="B49" s="234"/>
      <c r="C49" s="229"/>
      <c r="D49" s="230"/>
      <c r="E49" s="230"/>
      <c r="F49" s="231"/>
      <c r="G49" s="238"/>
      <c r="H49" s="287" t="str">
        <f t="shared" si="1"/>
        <v/>
      </c>
      <c r="J49" s="218"/>
      <c r="K49" s="218"/>
      <c r="L49" s="219"/>
      <c r="M49" s="220"/>
    </row>
    <row r="50" spans="2:13" ht="23" x14ac:dyDescent="0.25">
      <c r="B50" s="234"/>
      <c r="C50" s="229" t="s">
        <v>666</v>
      </c>
      <c r="D50" s="230" t="s">
        <v>6</v>
      </c>
      <c r="E50" s="230"/>
      <c r="F50" s="236">
        <f>H48</f>
        <v>26154428.206</v>
      </c>
      <c r="G50" s="168">
        <v>0</v>
      </c>
      <c r="H50" s="284">
        <f t="shared" si="1"/>
        <v>0</v>
      </c>
      <c r="J50" s="217"/>
      <c r="K50" s="218"/>
      <c r="L50" s="219"/>
      <c r="M50" s="220"/>
    </row>
    <row r="51" spans="2:13" ht="12" customHeight="1" x14ac:dyDescent="0.25">
      <c r="B51" s="234"/>
      <c r="C51" s="229"/>
      <c r="D51" s="230"/>
      <c r="E51" s="230"/>
      <c r="F51" s="231"/>
      <c r="G51" s="238"/>
      <c r="H51" s="287" t="str">
        <f t="shared" si="1"/>
        <v/>
      </c>
      <c r="J51" s="217"/>
      <c r="K51" s="218"/>
      <c r="L51" s="219"/>
      <c r="M51" s="220"/>
    </row>
    <row r="52" spans="2:13" s="247" customFormat="1" ht="34.5" x14ac:dyDescent="0.25">
      <c r="B52" s="288"/>
      <c r="C52" s="289" t="s">
        <v>667</v>
      </c>
      <c r="D52" s="230" t="s">
        <v>608</v>
      </c>
      <c r="E52" s="230"/>
      <c r="F52" s="169">
        <v>1</v>
      </c>
      <c r="G52" s="232">
        <v>4000000</v>
      </c>
      <c r="H52" s="284">
        <f t="shared" si="1"/>
        <v>4000000</v>
      </c>
      <c r="J52" s="217"/>
      <c r="K52" s="218"/>
      <c r="L52" s="219"/>
      <c r="M52" s="220"/>
    </row>
    <row r="53" spans="2:13" ht="12" customHeight="1" x14ac:dyDescent="0.25">
      <c r="B53" s="228"/>
      <c r="C53" s="229"/>
      <c r="D53" s="230"/>
      <c r="E53" s="230"/>
      <c r="F53" s="231"/>
      <c r="G53" s="238"/>
      <c r="H53" s="287" t="str">
        <f t="shared" si="1"/>
        <v/>
      </c>
      <c r="J53" s="240"/>
      <c r="K53" s="218"/>
      <c r="L53" s="219"/>
      <c r="M53" s="220"/>
    </row>
    <row r="54" spans="2:13" ht="23" x14ac:dyDescent="0.25">
      <c r="B54" s="234"/>
      <c r="C54" s="229" t="s">
        <v>668</v>
      </c>
      <c r="D54" s="230" t="s">
        <v>6</v>
      </c>
      <c r="E54" s="230"/>
      <c r="F54" s="236">
        <f>H52</f>
        <v>4000000</v>
      </c>
      <c r="G54" s="168">
        <v>0</v>
      </c>
      <c r="H54" s="290">
        <f t="shared" si="1"/>
        <v>0</v>
      </c>
      <c r="J54" s="240"/>
      <c r="K54" s="218"/>
      <c r="L54" s="219"/>
      <c r="M54" s="220"/>
    </row>
    <row r="55" spans="2:13" ht="12" customHeight="1" x14ac:dyDescent="0.25">
      <c r="B55" s="228"/>
      <c r="C55" s="229"/>
      <c r="D55" s="230"/>
      <c r="E55" s="230"/>
      <c r="F55" s="231"/>
      <c r="G55" s="238"/>
      <c r="H55" s="291" t="str">
        <f t="shared" si="1"/>
        <v/>
      </c>
      <c r="J55" s="240"/>
      <c r="K55" s="218"/>
      <c r="L55" s="219"/>
      <c r="M55" s="220"/>
    </row>
    <row r="56" spans="2:13" ht="23" x14ac:dyDescent="0.25">
      <c r="B56" s="234"/>
      <c r="C56" s="229" t="s">
        <v>609</v>
      </c>
      <c r="D56" s="230" t="s">
        <v>610</v>
      </c>
      <c r="E56" s="230"/>
      <c r="F56" s="169">
        <v>1</v>
      </c>
      <c r="G56" s="171">
        <v>0</v>
      </c>
      <c r="H56" s="237">
        <f t="shared" si="1"/>
        <v>0</v>
      </c>
      <c r="J56" s="240"/>
      <c r="K56" s="218"/>
      <c r="L56" s="219"/>
      <c r="M56" s="220"/>
    </row>
    <row r="57" spans="2:13" ht="12" customHeight="1" x14ac:dyDescent="0.25">
      <c r="B57" s="234"/>
      <c r="C57" s="229"/>
      <c r="D57" s="230"/>
      <c r="E57" s="230"/>
      <c r="F57" s="231"/>
      <c r="G57" s="292"/>
      <c r="H57" s="293" t="str">
        <f t="shared" si="1"/>
        <v/>
      </c>
      <c r="J57" s="240"/>
      <c r="K57" s="218"/>
      <c r="L57" s="219"/>
      <c r="M57" s="220"/>
    </row>
    <row r="58" spans="2:13" ht="23" x14ac:dyDescent="0.25">
      <c r="B58" s="234" t="s">
        <v>663</v>
      </c>
      <c r="C58" s="229" t="s">
        <v>611</v>
      </c>
      <c r="D58" s="230"/>
      <c r="E58" s="230"/>
      <c r="F58" s="231"/>
      <c r="G58" s="235"/>
      <c r="H58" s="293" t="str">
        <f t="shared" si="1"/>
        <v/>
      </c>
      <c r="J58" s="217"/>
      <c r="K58" s="218"/>
      <c r="L58" s="219"/>
      <c r="M58" s="220"/>
    </row>
    <row r="59" spans="2:13" x14ac:dyDescent="0.25">
      <c r="B59" s="234"/>
      <c r="C59" s="229"/>
      <c r="D59" s="230"/>
      <c r="E59" s="230"/>
      <c r="F59" s="231"/>
      <c r="G59" s="235"/>
      <c r="H59" s="293" t="str">
        <f t="shared" si="1"/>
        <v/>
      </c>
      <c r="J59" s="217"/>
      <c r="K59" s="218"/>
      <c r="L59" s="219"/>
      <c r="M59" s="220"/>
    </row>
    <row r="60" spans="2:13" x14ac:dyDescent="0.25">
      <c r="B60" s="234"/>
      <c r="C60" s="229" t="s">
        <v>612</v>
      </c>
      <c r="D60" s="230"/>
      <c r="E60" s="230"/>
      <c r="F60" s="231"/>
      <c r="G60" s="235"/>
      <c r="H60" s="293" t="str">
        <f t="shared" si="1"/>
        <v/>
      </c>
      <c r="J60" s="218"/>
      <c r="K60" s="218"/>
      <c r="L60" s="219"/>
      <c r="M60" s="220"/>
    </row>
    <row r="61" spans="2:13" x14ac:dyDescent="0.25">
      <c r="B61" s="234"/>
      <c r="C61" s="229"/>
      <c r="D61" s="230"/>
      <c r="E61" s="230"/>
      <c r="F61" s="231"/>
      <c r="G61" s="235"/>
      <c r="H61" s="293" t="str">
        <f t="shared" si="1"/>
        <v/>
      </c>
      <c r="J61" s="217"/>
      <c r="K61" s="218"/>
      <c r="L61" s="219"/>
      <c r="M61" s="220"/>
    </row>
    <row r="62" spans="2:13" x14ac:dyDescent="0.25">
      <c r="B62" s="234"/>
      <c r="C62" s="241" t="s">
        <v>613</v>
      </c>
      <c r="D62" s="230" t="s">
        <v>37</v>
      </c>
      <c r="E62" s="230"/>
      <c r="F62" s="169">
        <v>1</v>
      </c>
      <c r="G62" s="232">
        <v>350000</v>
      </c>
      <c r="H62" s="294">
        <f t="shared" si="1"/>
        <v>350000</v>
      </c>
      <c r="J62" s="217"/>
      <c r="K62" s="218"/>
      <c r="L62" s="219"/>
      <c r="M62" s="220"/>
    </row>
    <row r="63" spans="2:13" x14ac:dyDescent="0.25">
      <c r="B63" s="234"/>
      <c r="C63" s="241"/>
      <c r="D63" s="230"/>
      <c r="E63" s="230"/>
      <c r="F63" s="231"/>
      <c r="G63" s="235"/>
      <c r="H63" s="293" t="str">
        <f t="shared" si="1"/>
        <v/>
      </c>
      <c r="J63" s="217"/>
      <c r="K63" s="218"/>
      <c r="L63" s="219"/>
      <c r="M63" s="220"/>
    </row>
    <row r="64" spans="2:13" ht="23" x14ac:dyDescent="0.25">
      <c r="B64" s="234"/>
      <c r="C64" s="241" t="s">
        <v>669</v>
      </c>
      <c r="D64" s="230" t="s">
        <v>6</v>
      </c>
      <c r="E64" s="230"/>
      <c r="F64" s="236">
        <f>H62</f>
        <v>350000</v>
      </c>
      <c r="G64" s="168">
        <v>0</v>
      </c>
      <c r="H64" s="294">
        <f t="shared" si="1"/>
        <v>0</v>
      </c>
      <c r="J64" s="217"/>
      <c r="K64" s="218"/>
      <c r="L64" s="219"/>
      <c r="M64" s="220"/>
    </row>
    <row r="65" spans="2:13" x14ac:dyDescent="0.25">
      <c r="B65" s="234"/>
      <c r="C65" s="229"/>
      <c r="D65" s="230"/>
      <c r="E65" s="230"/>
      <c r="F65" s="231"/>
      <c r="G65" s="235"/>
      <c r="H65" s="293" t="str">
        <f t="shared" si="1"/>
        <v/>
      </c>
      <c r="J65" s="217"/>
      <c r="K65" s="218"/>
      <c r="L65" s="219"/>
      <c r="M65" s="220"/>
    </row>
    <row r="66" spans="2:13" x14ac:dyDescent="0.25">
      <c r="B66" s="234"/>
      <c r="C66" s="229" t="s">
        <v>614</v>
      </c>
      <c r="D66" s="230"/>
      <c r="E66" s="230"/>
      <c r="F66" s="231"/>
      <c r="G66" s="235"/>
      <c r="H66" s="293" t="str">
        <f t="shared" si="1"/>
        <v/>
      </c>
      <c r="J66" s="218"/>
      <c r="K66" s="218"/>
      <c r="L66" s="219"/>
      <c r="M66" s="220"/>
    </row>
    <row r="67" spans="2:13" x14ac:dyDescent="0.25">
      <c r="B67" s="234"/>
      <c r="C67" s="229"/>
      <c r="D67" s="230"/>
      <c r="E67" s="230"/>
      <c r="F67" s="231"/>
      <c r="G67" s="235"/>
      <c r="H67" s="293" t="str">
        <f t="shared" si="1"/>
        <v/>
      </c>
      <c r="J67" s="218"/>
      <c r="K67" s="218"/>
      <c r="L67" s="219"/>
      <c r="M67" s="220"/>
    </row>
    <row r="68" spans="2:13" x14ac:dyDescent="0.25">
      <c r="B68" s="234"/>
      <c r="C68" s="241" t="s">
        <v>613</v>
      </c>
      <c r="D68" s="230" t="s">
        <v>37</v>
      </c>
      <c r="E68" s="230"/>
      <c r="F68" s="169">
        <v>1</v>
      </c>
      <c r="G68" s="232">
        <v>400000</v>
      </c>
      <c r="H68" s="294">
        <f t="shared" si="1"/>
        <v>400000</v>
      </c>
      <c r="J68" s="218"/>
      <c r="K68" s="218"/>
      <c r="L68" s="219"/>
      <c r="M68" s="220"/>
    </row>
    <row r="69" spans="2:13" x14ac:dyDescent="0.25">
      <c r="B69" s="234"/>
      <c r="C69" s="241"/>
      <c r="D69" s="230"/>
      <c r="E69" s="230"/>
      <c r="F69" s="231"/>
      <c r="G69" s="235"/>
      <c r="H69" s="293" t="str">
        <f t="shared" si="1"/>
        <v/>
      </c>
      <c r="J69" s="218"/>
      <c r="K69" s="218"/>
      <c r="L69" s="219"/>
      <c r="M69" s="220"/>
    </row>
    <row r="70" spans="2:13" ht="23" x14ac:dyDescent="0.25">
      <c r="B70" s="234"/>
      <c r="C70" s="241" t="s">
        <v>670</v>
      </c>
      <c r="D70" s="230" t="s">
        <v>6</v>
      </c>
      <c r="E70" s="230"/>
      <c r="F70" s="236">
        <f>H68</f>
        <v>400000</v>
      </c>
      <c r="G70" s="168">
        <v>0</v>
      </c>
      <c r="H70" s="294">
        <f t="shared" si="1"/>
        <v>0</v>
      </c>
      <c r="J70" s="218"/>
      <c r="K70" s="218"/>
      <c r="L70" s="219"/>
      <c r="M70" s="220"/>
    </row>
    <row r="71" spans="2:13" x14ac:dyDescent="0.25">
      <c r="B71" s="234"/>
      <c r="C71" s="229"/>
      <c r="D71" s="230"/>
      <c r="E71" s="230"/>
      <c r="F71" s="231"/>
      <c r="G71" s="235"/>
      <c r="H71" s="293" t="str">
        <f t="shared" si="1"/>
        <v/>
      </c>
      <c r="J71" s="218"/>
      <c r="K71" s="218"/>
      <c r="L71" s="219"/>
      <c r="M71" s="220"/>
    </row>
    <row r="72" spans="2:13" x14ac:dyDescent="0.25">
      <c r="B72" s="234"/>
      <c r="C72" s="229" t="s">
        <v>615</v>
      </c>
      <c r="D72" s="230"/>
      <c r="E72" s="230"/>
      <c r="F72" s="231"/>
      <c r="G72" s="235"/>
      <c r="H72" s="293" t="str">
        <f t="shared" si="1"/>
        <v/>
      </c>
      <c r="J72" s="218"/>
      <c r="K72" s="218"/>
      <c r="L72" s="219"/>
      <c r="M72" s="220"/>
    </row>
    <row r="73" spans="2:13" x14ac:dyDescent="0.25">
      <c r="B73" s="234"/>
      <c r="C73" s="229"/>
      <c r="D73" s="230"/>
      <c r="E73" s="230"/>
      <c r="F73" s="231"/>
      <c r="G73" s="235"/>
      <c r="H73" s="293" t="str">
        <f t="shared" si="1"/>
        <v/>
      </c>
      <c r="J73" s="218"/>
      <c r="K73" s="218"/>
      <c r="L73" s="219"/>
      <c r="M73" s="220"/>
    </row>
    <row r="74" spans="2:13" x14ac:dyDescent="0.25">
      <c r="B74" s="234"/>
      <c r="C74" s="241" t="s">
        <v>613</v>
      </c>
      <c r="D74" s="230" t="s">
        <v>37</v>
      </c>
      <c r="E74" s="230"/>
      <c r="F74" s="169">
        <v>1</v>
      </c>
      <c r="G74" s="232">
        <v>500000</v>
      </c>
      <c r="H74" s="294">
        <f t="shared" si="1"/>
        <v>500000</v>
      </c>
      <c r="J74" s="218"/>
      <c r="K74" s="218"/>
      <c r="L74" s="219"/>
      <c r="M74" s="220"/>
    </row>
    <row r="75" spans="2:13" x14ac:dyDescent="0.25">
      <c r="B75" s="234"/>
      <c r="C75" s="241"/>
      <c r="D75" s="230"/>
      <c r="E75" s="230"/>
      <c r="F75" s="231"/>
      <c r="G75" s="235"/>
      <c r="H75" s="293" t="str">
        <f t="shared" si="1"/>
        <v/>
      </c>
      <c r="J75" s="218"/>
      <c r="K75" s="218"/>
      <c r="L75" s="219"/>
      <c r="M75" s="220"/>
    </row>
    <row r="76" spans="2:13" ht="23" x14ac:dyDescent="0.25">
      <c r="B76" s="234"/>
      <c r="C76" s="241" t="s">
        <v>671</v>
      </c>
      <c r="D76" s="230" t="s">
        <v>6</v>
      </c>
      <c r="E76" s="230"/>
      <c r="F76" s="236">
        <f>H74</f>
        <v>500000</v>
      </c>
      <c r="G76" s="168">
        <v>0</v>
      </c>
      <c r="H76" s="294">
        <f t="shared" si="1"/>
        <v>0</v>
      </c>
      <c r="J76" s="218"/>
      <c r="K76" s="218"/>
      <c r="L76" s="219"/>
      <c r="M76" s="220"/>
    </row>
    <row r="77" spans="2:13" x14ac:dyDescent="0.25">
      <c r="B77" s="234"/>
      <c r="C77" s="229"/>
      <c r="D77" s="230"/>
      <c r="E77" s="230"/>
      <c r="F77" s="231"/>
      <c r="G77" s="235"/>
      <c r="H77" s="293" t="str">
        <f t="shared" si="1"/>
        <v/>
      </c>
      <c r="J77" s="218"/>
      <c r="K77" s="218"/>
      <c r="L77" s="219"/>
      <c r="M77" s="220"/>
    </row>
    <row r="78" spans="2:13" ht="23" x14ac:dyDescent="0.25">
      <c r="B78" s="234"/>
      <c r="C78" s="229" t="s">
        <v>616</v>
      </c>
      <c r="D78" s="230"/>
      <c r="E78" s="230"/>
      <c r="F78" s="231"/>
      <c r="G78" s="235"/>
      <c r="H78" s="293" t="str">
        <f t="shared" si="1"/>
        <v/>
      </c>
      <c r="J78" s="218"/>
      <c r="K78" s="218"/>
      <c r="L78" s="219"/>
      <c r="M78" s="220"/>
    </row>
    <row r="79" spans="2:13" x14ac:dyDescent="0.25">
      <c r="B79" s="234"/>
      <c r="C79" s="229"/>
      <c r="D79" s="230"/>
      <c r="E79" s="230"/>
      <c r="F79" s="231"/>
      <c r="G79" s="292"/>
      <c r="H79" s="293" t="str">
        <f t="shared" si="1"/>
        <v/>
      </c>
      <c r="J79" s="218"/>
      <c r="K79" s="218"/>
      <c r="L79" s="219"/>
      <c r="M79" s="220"/>
    </row>
    <row r="80" spans="2:13" x14ac:dyDescent="0.25">
      <c r="B80" s="234"/>
      <c r="C80" s="241" t="s">
        <v>617</v>
      </c>
      <c r="D80" s="230" t="s">
        <v>37</v>
      </c>
      <c r="E80" s="230"/>
      <c r="F80" s="169">
        <v>1</v>
      </c>
      <c r="G80" s="232">
        <v>125000</v>
      </c>
      <c r="H80" s="294">
        <f t="shared" si="1"/>
        <v>125000</v>
      </c>
      <c r="J80" s="218"/>
      <c r="K80" s="218"/>
      <c r="L80" s="219"/>
      <c r="M80" s="220"/>
    </row>
    <row r="81" spans="2:13" x14ac:dyDescent="0.25">
      <c r="B81" s="228"/>
      <c r="C81" s="241"/>
      <c r="D81" s="230"/>
      <c r="E81" s="230"/>
      <c r="F81" s="231"/>
      <c r="G81" s="238"/>
      <c r="H81" s="233" t="str">
        <f t="shared" si="1"/>
        <v/>
      </c>
      <c r="J81" s="218"/>
      <c r="K81" s="218"/>
      <c r="L81" s="219"/>
      <c r="M81" s="220"/>
    </row>
    <row r="82" spans="2:13" ht="23" x14ac:dyDescent="0.25">
      <c r="B82" s="234"/>
      <c r="C82" s="241" t="s">
        <v>672</v>
      </c>
      <c r="D82" s="230" t="s">
        <v>6</v>
      </c>
      <c r="E82" s="230"/>
      <c r="F82" s="236">
        <f>H80</f>
        <v>125000</v>
      </c>
      <c r="G82" s="168">
        <v>0</v>
      </c>
      <c r="H82" s="237">
        <f t="shared" si="1"/>
        <v>0</v>
      </c>
      <c r="J82" s="218"/>
      <c r="K82" s="218"/>
      <c r="L82" s="219"/>
      <c r="M82" s="220"/>
    </row>
    <row r="83" spans="2:13" x14ac:dyDescent="0.25">
      <c r="B83" s="234"/>
      <c r="C83" s="241"/>
      <c r="D83" s="230"/>
      <c r="E83" s="230"/>
      <c r="F83" s="231"/>
      <c r="G83" s="295"/>
      <c r="H83" s="233" t="str">
        <f t="shared" si="1"/>
        <v/>
      </c>
      <c r="J83" s="218"/>
      <c r="K83" s="218"/>
      <c r="L83" s="219"/>
      <c r="M83" s="220"/>
    </row>
    <row r="84" spans="2:13" ht="37.5" x14ac:dyDescent="0.25">
      <c r="B84" s="234"/>
      <c r="C84" s="296" t="s">
        <v>597</v>
      </c>
      <c r="D84" s="230"/>
      <c r="E84" s="230"/>
      <c r="F84" s="231"/>
      <c r="G84" s="295"/>
      <c r="H84" s="233" t="str">
        <f t="shared" si="1"/>
        <v/>
      </c>
      <c r="J84" s="218"/>
      <c r="K84" s="218"/>
      <c r="L84" s="219"/>
      <c r="M84" s="220"/>
    </row>
    <row r="85" spans="2:13" ht="12.5" x14ac:dyDescent="0.25">
      <c r="B85" s="234"/>
      <c r="C85" s="296"/>
      <c r="D85" s="230"/>
      <c r="E85" s="230"/>
      <c r="F85" s="231"/>
      <c r="G85" s="295"/>
      <c r="H85" s="233" t="str">
        <f t="shared" si="1"/>
        <v/>
      </c>
      <c r="J85" s="218"/>
      <c r="K85" s="218"/>
      <c r="L85" s="219"/>
      <c r="M85" s="220"/>
    </row>
    <row r="86" spans="2:13" ht="12.5" x14ac:dyDescent="0.25">
      <c r="B86" s="234"/>
      <c r="C86" s="296" t="s">
        <v>618</v>
      </c>
      <c r="D86" s="230" t="s">
        <v>37</v>
      </c>
      <c r="E86" s="230"/>
      <c r="F86" s="169">
        <v>1</v>
      </c>
      <c r="G86" s="232">
        <v>100000</v>
      </c>
      <c r="H86" s="237">
        <f t="shared" si="1"/>
        <v>100000</v>
      </c>
      <c r="J86" s="218"/>
      <c r="K86" s="218"/>
      <c r="L86" s="219"/>
      <c r="M86" s="220"/>
    </row>
    <row r="87" spans="2:13" ht="12.5" x14ac:dyDescent="0.25">
      <c r="B87" s="234"/>
      <c r="C87" s="296"/>
      <c r="D87" s="230"/>
      <c r="E87" s="230"/>
      <c r="F87" s="231"/>
      <c r="G87" s="295"/>
      <c r="H87" s="233" t="str">
        <f t="shared" si="1"/>
        <v/>
      </c>
      <c r="J87" s="218"/>
      <c r="K87" s="218"/>
      <c r="L87" s="219"/>
      <c r="M87" s="220"/>
    </row>
    <row r="88" spans="2:13" ht="25" x14ac:dyDescent="0.25">
      <c r="B88" s="234"/>
      <c r="C88" s="296" t="s">
        <v>673</v>
      </c>
      <c r="D88" s="230" t="s">
        <v>6</v>
      </c>
      <c r="E88" s="230"/>
      <c r="F88" s="236">
        <f>G86</f>
        <v>100000</v>
      </c>
      <c r="G88" s="168">
        <v>0</v>
      </c>
      <c r="H88" s="237">
        <f t="shared" si="1"/>
        <v>0</v>
      </c>
      <c r="J88" s="218"/>
      <c r="K88" s="218"/>
      <c r="L88" s="219"/>
      <c r="M88" s="220"/>
    </row>
    <row r="89" spans="2:13" x14ac:dyDescent="0.25">
      <c r="B89" s="229"/>
      <c r="C89" s="297"/>
      <c r="D89" s="230"/>
      <c r="E89" s="230"/>
      <c r="F89" s="298"/>
      <c r="G89" s="299"/>
      <c r="H89" s="299"/>
      <c r="J89" s="217"/>
      <c r="K89" s="218"/>
      <c r="L89" s="219"/>
      <c r="M89" s="220"/>
    </row>
    <row r="90" spans="2:13" ht="28.5" customHeight="1" x14ac:dyDescent="0.25">
      <c r="B90" s="207" t="str">
        <f>B36</f>
        <v>F1000</v>
      </c>
      <c r="C90" s="249" t="str">
        <f>"TOTAL CARRIED FORWARD"&amp;IF(H90=H$1," TO SUMMARY ")</f>
        <v xml:space="preserve">TOTAL CARRIED FORWARD TO SUMMARY </v>
      </c>
      <c r="D90" s="300"/>
      <c r="E90" s="300"/>
      <c r="F90" s="300"/>
      <c r="G90" s="301"/>
      <c r="H90" s="302">
        <f>SUM(H44:H89)</f>
        <v>31629428.206</v>
      </c>
      <c r="J90" s="254"/>
      <c r="K90" s="254"/>
      <c r="L90" s="255"/>
      <c r="M90" s="303"/>
    </row>
    <row r="91" spans="2:13" x14ac:dyDescent="0.25">
      <c r="L91" s="263"/>
    </row>
    <row r="92" spans="2:13" x14ac:dyDescent="0.25">
      <c r="L92" s="263"/>
    </row>
    <row r="93" spans="2:13" x14ac:dyDescent="0.25">
      <c r="L93" s="263"/>
    </row>
    <row r="94" spans="2:13" x14ac:dyDescent="0.25">
      <c r="L94" s="263"/>
    </row>
    <row r="95" spans="2:13" x14ac:dyDescent="0.25">
      <c r="L95" s="263"/>
    </row>
    <row r="96" spans="2:13" x14ac:dyDescent="0.25">
      <c r="L96" s="263"/>
    </row>
    <row r="97" spans="12:12" x14ac:dyDescent="0.25">
      <c r="L97" s="263"/>
    </row>
    <row r="98" spans="12:12" x14ac:dyDescent="0.25">
      <c r="L98" s="263"/>
    </row>
    <row r="99" spans="12:12" x14ac:dyDescent="0.25">
      <c r="L99" s="263"/>
    </row>
    <row r="100" spans="12:12" x14ac:dyDescent="0.25">
      <c r="L100" s="263"/>
    </row>
    <row r="101" spans="12:12" x14ac:dyDescent="0.25">
      <c r="L101" s="263"/>
    </row>
    <row r="102" spans="12:12" x14ac:dyDescent="0.25">
      <c r="L102" s="263"/>
    </row>
    <row r="103" spans="12:12" x14ac:dyDescent="0.25">
      <c r="L103" s="263"/>
    </row>
    <row r="104" spans="12:12" x14ac:dyDescent="0.25">
      <c r="L104" s="263"/>
    </row>
    <row r="105" spans="12:12" x14ac:dyDescent="0.25">
      <c r="L105" s="263"/>
    </row>
    <row r="106" spans="12:12" x14ac:dyDescent="0.25">
      <c r="L106" s="263"/>
    </row>
    <row r="107" spans="12:12" x14ac:dyDescent="0.25">
      <c r="L107" s="263"/>
    </row>
    <row r="108" spans="12:12" x14ac:dyDescent="0.25">
      <c r="L108" s="263"/>
    </row>
    <row r="109" spans="12:12" x14ac:dyDescent="0.25">
      <c r="L109" s="263"/>
    </row>
    <row r="110" spans="12:12" x14ac:dyDescent="0.25">
      <c r="L110" s="263"/>
    </row>
    <row r="111" spans="12:12" x14ac:dyDescent="0.25">
      <c r="L111" s="263"/>
    </row>
    <row r="112" spans="12:12" x14ac:dyDescent="0.25">
      <c r="L112" s="263"/>
    </row>
    <row r="113" spans="12:12" x14ac:dyDescent="0.25">
      <c r="L113" s="263"/>
    </row>
    <row r="114" spans="12:12" x14ac:dyDescent="0.25">
      <c r="L114" s="263"/>
    </row>
    <row r="115" spans="12:12" x14ac:dyDescent="0.25">
      <c r="L115" s="263"/>
    </row>
    <row r="116" spans="12:12" x14ac:dyDescent="0.25">
      <c r="L116" s="263"/>
    </row>
    <row r="117" spans="12:12" x14ac:dyDescent="0.25">
      <c r="L117" s="263"/>
    </row>
    <row r="118" spans="12:12" x14ac:dyDescent="0.25">
      <c r="L118" s="263"/>
    </row>
    <row r="119" spans="12:12" x14ac:dyDescent="0.25">
      <c r="L119" s="263"/>
    </row>
    <row r="120" spans="12:12" x14ac:dyDescent="0.25">
      <c r="L120" s="263"/>
    </row>
    <row r="121" spans="12:12" x14ac:dyDescent="0.25">
      <c r="L121" s="263"/>
    </row>
    <row r="122" spans="12:12" x14ac:dyDescent="0.25">
      <c r="L122" s="263"/>
    </row>
    <row r="123" spans="12:12" x14ac:dyDescent="0.25">
      <c r="L123" s="263"/>
    </row>
    <row r="124" spans="12:12" x14ac:dyDescent="0.25">
      <c r="L124" s="263"/>
    </row>
    <row r="125" spans="12:12" x14ac:dyDescent="0.25">
      <c r="L125" s="263"/>
    </row>
    <row r="126" spans="12:12" x14ac:dyDescent="0.25">
      <c r="L126" s="263"/>
    </row>
    <row r="127" spans="12:12" x14ac:dyDescent="0.25">
      <c r="L127" s="263"/>
    </row>
    <row r="128" spans="12:12" x14ac:dyDescent="0.25">
      <c r="L128" s="263"/>
    </row>
    <row r="129" spans="12:12" x14ac:dyDescent="0.25">
      <c r="L129" s="263"/>
    </row>
    <row r="130" spans="12:12" x14ac:dyDescent="0.25">
      <c r="L130" s="263"/>
    </row>
    <row r="131" spans="12:12" x14ac:dyDescent="0.25">
      <c r="L131" s="263"/>
    </row>
    <row r="132" spans="12:12" x14ac:dyDescent="0.25">
      <c r="L132" s="263"/>
    </row>
    <row r="133" spans="12:12" x14ac:dyDescent="0.25">
      <c r="L133" s="263"/>
    </row>
    <row r="134" spans="12:12" x14ac:dyDescent="0.25">
      <c r="L134" s="263"/>
    </row>
    <row r="135" spans="12:12" x14ac:dyDescent="0.25">
      <c r="L135" s="263"/>
    </row>
    <row r="136" spans="12:12" x14ac:dyDescent="0.25">
      <c r="L136" s="263"/>
    </row>
    <row r="137" spans="12:12" x14ac:dyDescent="0.25">
      <c r="L137" s="263"/>
    </row>
    <row r="138" spans="12:12" x14ac:dyDescent="0.25">
      <c r="L138" s="263"/>
    </row>
    <row r="139" spans="12:12" x14ac:dyDescent="0.25">
      <c r="L139" s="263"/>
    </row>
    <row r="140" spans="12:12" x14ac:dyDescent="0.25">
      <c r="L140" s="263"/>
    </row>
    <row r="141" spans="12:12" x14ac:dyDescent="0.25">
      <c r="L141" s="263"/>
    </row>
    <row r="142" spans="12:12" x14ac:dyDescent="0.25">
      <c r="L142" s="263"/>
    </row>
    <row r="143" spans="12:12" x14ac:dyDescent="0.25">
      <c r="L143" s="263"/>
    </row>
    <row r="144" spans="12:12" x14ac:dyDescent="0.25">
      <c r="L144" s="263"/>
    </row>
    <row r="145" spans="12:12" x14ac:dyDescent="0.25">
      <c r="L145" s="263"/>
    </row>
    <row r="146" spans="12:12" x14ac:dyDescent="0.25">
      <c r="L146" s="263"/>
    </row>
    <row r="147" spans="12:12" x14ac:dyDescent="0.25">
      <c r="L147" s="263"/>
    </row>
    <row r="148" spans="12:12" x14ac:dyDescent="0.25">
      <c r="L148" s="263"/>
    </row>
    <row r="149" spans="12:12" x14ac:dyDescent="0.25">
      <c r="L149" s="263"/>
    </row>
    <row r="150" spans="12:12" x14ac:dyDescent="0.25">
      <c r="L150" s="263"/>
    </row>
    <row r="151" spans="12:12" x14ac:dyDescent="0.25">
      <c r="L151" s="263"/>
    </row>
    <row r="152" spans="12:12" x14ac:dyDescent="0.25">
      <c r="L152" s="263"/>
    </row>
    <row r="153" spans="12:12" x14ac:dyDescent="0.25">
      <c r="L153" s="263"/>
    </row>
    <row r="154" spans="12:12" x14ac:dyDescent="0.25">
      <c r="L154" s="263"/>
    </row>
    <row r="155" spans="12:12" x14ac:dyDescent="0.25">
      <c r="L155" s="263"/>
    </row>
    <row r="156" spans="12:12" x14ac:dyDescent="0.25">
      <c r="L156" s="263"/>
    </row>
    <row r="157" spans="12:12" x14ac:dyDescent="0.25">
      <c r="L157" s="263"/>
    </row>
    <row r="158" spans="12:12" x14ac:dyDescent="0.25">
      <c r="L158" s="263"/>
    </row>
    <row r="159" spans="12:12" x14ac:dyDescent="0.25">
      <c r="L159" s="263"/>
    </row>
    <row r="160" spans="12:12" x14ac:dyDescent="0.25">
      <c r="L160" s="263"/>
    </row>
    <row r="161" spans="12:12" x14ac:dyDescent="0.25">
      <c r="L161" s="263"/>
    </row>
    <row r="162" spans="12:12" x14ac:dyDescent="0.25">
      <c r="L162" s="263"/>
    </row>
    <row r="163" spans="12:12" x14ac:dyDescent="0.25">
      <c r="L163" s="263"/>
    </row>
    <row r="164" spans="12:12" x14ac:dyDescent="0.25">
      <c r="L164" s="263"/>
    </row>
    <row r="165" spans="12:12" x14ac:dyDescent="0.25">
      <c r="L165" s="263"/>
    </row>
    <row r="166" spans="12:12" x14ac:dyDescent="0.25">
      <c r="L166" s="263"/>
    </row>
    <row r="167" spans="12:12" x14ac:dyDescent="0.25">
      <c r="L167" s="263"/>
    </row>
    <row r="168" spans="12:12" x14ac:dyDescent="0.25">
      <c r="L168" s="263"/>
    </row>
    <row r="169" spans="12:12" x14ac:dyDescent="0.25">
      <c r="L169" s="263"/>
    </row>
    <row r="170" spans="12:12" x14ac:dyDescent="0.25">
      <c r="L170" s="263"/>
    </row>
    <row r="171" spans="12:12" x14ac:dyDescent="0.25">
      <c r="L171" s="263"/>
    </row>
    <row r="172" spans="12:12" x14ac:dyDescent="0.25">
      <c r="L172" s="263"/>
    </row>
    <row r="173" spans="12:12" x14ac:dyDescent="0.25">
      <c r="L173" s="263"/>
    </row>
    <row r="174" spans="12:12" x14ac:dyDescent="0.25">
      <c r="L174" s="263"/>
    </row>
    <row r="175" spans="12:12" x14ac:dyDescent="0.25">
      <c r="L175" s="263"/>
    </row>
  </sheetData>
  <sheetProtection algorithmName="SHA-512" hashValue="bO5TS7PVyLxIQPhhg1pH1lvl5Ag+Xh8j9qYuX9oTBqQYG0WU+8a2S4mq6nqGDNMQqZ6OABu86aP6fMcyIN4s3A==" saltValue="4FclZb0X6dbhJDGAfeTFuw==" spinCount="100000" sheet="1" objects="1" scenarios="1"/>
  <mergeCells count="8">
    <mergeCell ref="F3:H3"/>
    <mergeCell ref="B42:H42"/>
    <mergeCell ref="F6:H6"/>
    <mergeCell ref="I11:I12"/>
    <mergeCell ref="F38:H38"/>
    <mergeCell ref="B41:C41"/>
    <mergeCell ref="F41:H41"/>
    <mergeCell ref="B7:H7"/>
  </mergeCells>
  <conditionalFormatting sqref="H48:H55">
    <cfRule type="cellIs" dxfId="1" priority="28" stopIfTrue="1" operator="lessThan">
      <formula>0.005</formula>
    </cfRule>
  </conditionalFormatting>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rowBreaks count="1" manualBreakCount="1">
    <brk id="37" max="8" man="1"/>
  </rowBreaks>
  <extLst>
    <ext xmlns:x14="http://schemas.microsoft.com/office/spreadsheetml/2009/9/main" uri="{78C0D931-6437-407d-A8EE-F0AAD7539E65}">
      <x14:conditionalFormattings>
        <x14:conditionalFormatting xmlns:xm="http://schemas.microsoft.com/office/excel/2006/main">
          <x14:cfRule type="expression" priority="11" id="{10394940-59DB-4E8C-9EF9-7CFCE12F202E}">
            <xm:f>AND(Home!$C$8=FALSE,$D48&lt;&gt;"P C Sum",$D48&lt;&gt;"PC Sum",$D48&lt;&gt;"P Sum",$D48&lt;&gt;"Prov Sum")</xm:f>
            <x14:dxf>
              <font>
                <color theme="0"/>
              </font>
            </x14:dxf>
          </x14:cfRule>
          <xm:sqref>F48</xm:sqref>
        </x14:conditionalFormatting>
        <x14:conditionalFormatting xmlns:xm="http://schemas.microsoft.com/office/excel/2006/main">
          <x14:cfRule type="expression" priority="10" id="{7EFD7B01-C0B2-43F7-8F27-BF74310A4F7D}">
            <xm:f>AND(Home!$C$8=FALSE,$D52&lt;&gt;"P C Sum",$D52&lt;&gt;"PC Sum",$D52&lt;&gt;"P Sum",$D52&lt;&gt;"Prov Sum")</xm:f>
            <x14:dxf>
              <font>
                <color theme="0"/>
              </font>
            </x14:dxf>
          </x14:cfRule>
          <xm:sqref>F52</xm:sqref>
        </x14:conditionalFormatting>
        <x14:conditionalFormatting xmlns:xm="http://schemas.microsoft.com/office/excel/2006/main">
          <x14:cfRule type="expression" priority="8" id="{EA31C0DB-6715-44F2-A2F8-CEF77CFADAC0}">
            <xm:f>AND(Home!$C$8=FALSE,$D62&lt;&gt;"P C Sum",$D62&lt;&gt;"PC Sum",$D62&lt;&gt;"P Sum",$D62&lt;&gt;"Prov Sum")</xm:f>
            <x14:dxf>
              <font>
                <color theme="0"/>
              </font>
            </x14:dxf>
          </x14:cfRule>
          <xm:sqref>F62</xm:sqref>
        </x14:conditionalFormatting>
        <x14:conditionalFormatting xmlns:xm="http://schemas.microsoft.com/office/excel/2006/main">
          <x14:cfRule type="expression" priority="7" id="{CA61CEA5-D856-438A-81FC-AB8BAA64145B}">
            <xm:f>AND(Home!$C$8=FALSE,$D68&lt;&gt;"P C Sum",$D68&lt;&gt;"PC Sum",$D68&lt;&gt;"P Sum",$D68&lt;&gt;"Prov Sum")</xm:f>
            <x14:dxf>
              <font>
                <color theme="0"/>
              </font>
            </x14:dxf>
          </x14:cfRule>
          <xm:sqref>F68</xm:sqref>
        </x14:conditionalFormatting>
        <x14:conditionalFormatting xmlns:xm="http://schemas.microsoft.com/office/excel/2006/main">
          <x14:cfRule type="expression" priority="6" id="{A77B7AA2-E3E1-4440-A49E-80FE0139A52A}">
            <xm:f>AND(Home!$C$8=FALSE,$D74&lt;&gt;"P C Sum",$D74&lt;&gt;"PC Sum",$D74&lt;&gt;"P Sum",$D74&lt;&gt;"Prov Sum")</xm:f>
            <x14:dxf>
              <font>
                <color theme="0"/>
              </font>
            </x14:dxf>
          </x14:cfRule>
          <xm:sqref>F74</xm:sqref>
        </x14:conditionalFormatting>
        <x14:conditionalFormatting xmlns:xm="http://schemas.microsoft.com/office/excel/2006/main">
          <x14:cfRule type="expression" priority="5" id="{DEF8D9C6-3DC9-4796-8BA1-6C4C2B42DAB8}">
            <xm:f>AND(Home!$C$8=FALSE,$D80&lt;&gt;"P C Sum",$D80&lt;&gt;"PC Sum",$D80&lt;&gt;"P Sum",$D80&lt;&gt;"Prov Sum")</xm:f>
            <x14:dxf>
              <font>
                <color theme="0"/>
              </font>
            </x14:dxf>
          </x14:cfRule>
          <xm:sqref>F80</xm:sqref>
        </x14:conditionalFormatting>
        <x14:conditionalFormatting xmlns:xm="http://schemas.microsoft.com/office/excel/2006/main">
          <x14:cfRule type="expression" priority="4" id="{160C566F-7E9C-4CEC-95EF-2D4F876AA359}">
            <xm:f>AND(Home!$C$8=FALSE,$D86&lt;&gt;"P C Sum",$D86&lt;&gt;"PC Sum",$D86&lt;&gt;"P Sum",$D86&lt;&gt;"Prov Sum")</xm:f>
            <x14:dxf>
              <font>
                <color theme="0"/>
              </font>
            </x14:dxf>
          </x14:cfRule>
          <xm:sqref>F86</xm:sqref>
        </x14:conditionalFormatting>
        <x14:conditionalFormatting xmlns:xm="http://schemas.microsoft.com/office/excel/2006/main">
          <x14:cfRule type="expression" priority="1" id="{85585DE3-D9D5-4E4F-B97A-DE55AA9D8186}">
            <xm:f>AND(Home!$C$8=FALSE,$D23&lt;&gt;"P C Sum",$D23&lt;&gt;"PC Sum",$D23&lt;&gt;"P Sum",$D23&lt;&gt;"Prov Sum")</xm:f>
            <x14:dxf>
              <font>
                <color theme="0"/>
              </font>
            </x14:dxf>
          </x14:cfRule>
          <xm:sqref>F23:G23</xm:sqref>
        </x14:conditionalFormatting>
        <x14:conditionalFormatting xmlns:xm="http://schemas.microsoft.com/office/excel/2006/main">
          <x14:cfRule type="expression" priority="2" id="{E8A66DAB-818D-4D14-8878-32F4D4F79171}">
            <xm:f>AND(Home!$C$8=FALSE,$D25&lt;&gt;"P C Sum",$D25&lt;&gt;"PC Sum",$D25&lt;&gt;"P Sum",$D25&lt;&gt;"Prov Sum")</xm:f>
            <x14:dxf>
              <font>
                <color theme="0"/>
              </font>
            </x14:dxf>
          </x14:cfRule>
          <xm:sqref>F25:G25</xm:sqref>
        </x14:conditionalFormatting>
        <x14:conditionalFormatting xmlns:xm="http://schemas.microsoft.com/office/excel/2006/main">
          <x14:cfRule type="expression" priority="3" id="{3079569B-A623-4F87-A82F-4B119EF949A8}">
            <xm:f>AND(Home!$C$8=FALSE,$D27&lt;&gt;"P C Sum",$D27&lt;&gt;"PC Sum",$D27&lt;&gt;"P Sum",$D27&lt;&gt;"Prov Sum")</xm:f>
            <x14:dxf>
              <font>
                <color theme="0"/>
              </font>
            </x14:dxf>
          </x14:cfRule>
          <xm:sqref>F27:G27</xm:sqref>
        </x14:conditionalFormatting>
        <x14:conditionalFormatting xmlns:xm="http://schemas.microsoft.com/office/excel/2006/main">
          <x14:cfRule type="expression" priority="9" id="{8E6B31FF-EE7B-42FE-A17E-C4B5CA09AEF4}">
            <xm:f>AND(Home!$C$8=FALSE,$D56&lt;&gt;"P C Sum",$D56&lt;&gt;"PC Sum",$D56&lt;&gt;"P Sum",$D56&lt;&gt;"Prov Sum")</xm:f>
            <x14:dxf>
              <font>
                <color theme="0"/>
              </font>
            </x14:dxf>
          </x14:cfRule>
          <xm:sqref>F56:G56</xm:sqref>
        </x14:conditionalFormatting>
        <x14:conditionalFormatting xmlns:xm="http://schemas.microsoft.com/office/excel/2006/main">
          <x14:cfRule type="expression" priority="26" id="{5351551C-F5C0-427B-B856-7ABDC6C770D2}">
            <xm:f>AND(Home!$C$8=FALSE,$D15&lt;&gt;"P C Sum",$D15&lt;&gt;"PC Sum",$D15&lt;&gt;"P Sum",$D15&lt;&gt;"Prov Sum")</xm:f>
            <x14:dxf>
              <font>
                <color theme="0"/>
              </font>
            </x14:dxf>
          </x14:cfRule>
          <xm:sqref>G15</xm:sqref>
        </x14:conditionalFormatting>
        <x14:conditionalFormatting xmlns:xm="http://schemas.microsoft.com/office/excel/2006/main">
          <x14:cfRule type="expression" priority="17" id="{FD982C85-5F7F-4BF5-8186-C28F7535F8ED}">
            <xm:f>AND(Home!$C$8=FALSE,$D17&lt;&gt;"P C Sum",$D17&lt;&gt;"PC Sum",$D17&lt;&gt;"P Sum",$D17&lt;&gt;"Prov Sum")</xm:f>
            <x14:dxf>
              <font>
                <color theme="0"/>
              </font>
            </x14:dxf>
          </x14:cfRule>
          <xm:sqref>G17</xm:sqref>
        </x14:conditionalFormatting>
        <x14:conditionalFormatting xmlns:xm="http://schemas.microsoft.com/office/excel/2006/main">
          <x14:cfRule type="expression" priority="16" id="{20848F6D-65FD-4371-978A-7FFA58A7AEBF}">
            <xm:f>AND(Home!$C$8=FALSE,$D19&lt;&gt;"P C Sum",$D19&lt;&gt;"PC Sum",$D19&lt;&gt;"P Sum",$D19&lt;&gt;"Prov Sum")</xm:f>
            <x14:dxf>
              <font>
                <color theme="0"/>
              </font>
            </x14:dxf>
          </x14:cfRule>
          <xm:sqref>G19</xm:sqref>
        </x14:conditionalFormatting>
        <x14:conditionalFormatting xmlns:xm="http://schemas.microsoft.com/office/excel/2006/main">
          <x14:cfRule type="expression" priority="15" id="{E62CF141-C885-4E28-AE10-8F542028933C}">
            <xm:f>AND(Home!$C$8=FALSE,$D21&lt;&gt;"P C Sum",$D21&lt;&gt;"PC Sum",$D21&lt;&gt;"P Sum",$D21&lt;&gt;"Prov Sum")</xm:f>
            <x14:dxf>
              <font>
                <color theme="0"/>
              </font>
            </x14:dxf>
          </x14:cfRule>
          <xm:sqref>G21</xm:sqref>
        </x14:conditionalFormatting>
        <x14:conditionalFormatting xmlns:xm="http://schemas.microsoft.com/office/excel/2006/main">
          <x14:cfRule type="expression" priority="25" id="{E24C8528-9F1D-4142-BAD7-C7BFF252ED40}">
            <xm:f>AND(Home!$C$8=FALSE,$D50&lt;&gt;"P C Sum",$D50&lt;&gt;"PC Sum",$D50&lt;&gt;"P Sum",$D50&lt;&gt;"Prov Sum")</xm:f>
            <x14:dxf>
              <font>
                <color theme="0"/>
              </font>
            </x14:dxf>
          </x14:cfRule>
          <xm:sqref>G50</xm:sqref>
        </x14:conditionalFormatting>
        <x14:conditionalFormatting xmlns:xm="http://schemas.microsoft.com/office/excel/2006/main">
          <x14:cfRule type="expression" priority="24" id="{17230A72-1C6C-4492-9388-DF4E856462F9}">
            <xm:f>AND(Home!$C$8=FALSE,$D54&lt;&gt;"P C Sum",$D54&lt;&gt;"PC Sum",$D54&lt;&gt;"P Sum",$D54&lt;&gt;"Prov Sum")</xm:f>
            <x14:dxf>
              <font>
                <color theme="0"/>
              </font>
            </x14:dxf>
          </x14:cfRule>
          <xm:sqref>G54</xm:sqref>
        </x14:conditionalFormatting>
        <x14:conditionalFormatting xmlns:xm="http://schemas.microsoft.com/office/excel/2006/main">
          <x14:cfRule type="expression" priority="23" id="{99FAFC7C-2B5C-4172-A1AB-20DE6CA9E2BA}">
            <xm:f>AND(Home!$C$8=FALSE,$D64&lt;&gt;"P C Sum",$D64&lt;&gt;"PC Sum",$D64&lt;&gt;"P Sum",$D64&lt;&gt;"Prov Sum")</xm:f>
            <x14:dxf>
              <font>
                <color theme="0"/>
              </font>
            </x14:dxf>
          </x14:cfRule>
          <xm:sqref>G64</xm:sqref>
        </x14:conditionalFormatting>
        <x14:conditionalFormatting xmlns:xm="http://schemas.microsoft.com/office/excel/2006/main">
          <x14:cfRule type="expression" priority="22" id="{D90280FB-7D38-4301-9E89-1F04361EFB8A}">
            <xm:f>AND(Home!$C$8=FALSE,$D70&lt;&gt;"P C Sum",$D70&lt;&gt;"PC Sum",$D70&lt;&gt;"P Sum",$D70&lt;&gt;"Prov Sum")</xm:f>
            <x14:dxf>
              <font>
                <color theme="0"/>
              </font>
            </x14:dxf>
          </x14:cfRule>
          <xm:sqref>G70</xm:sqref>
        </x14:conditionalFormatting>
        <x14:conditionalFormatting xmlns:xm="http://schemas.microsoft.com/office/excel/2006/main">
          <x14:cfRule type="expression" priority="21" id="{76B77CB4-2441-434D-A8E8-D106A491237E}">
            <xm:f>AND(Home!$C$8=FALSE,$D76&lt;&gt;"P C Sum",$D76&lt;&gt;"PC Sum",$D76&lt;&gt;"P Sum",$D76&lt;&gt;"Prov Sum")</xm:f>
            <x14:dxf>
              <font>
                <color theme="0"/>
              </font>
            </x14:dxf>
          </x14:cfRule>
          <xm:sqref>G76</xm:sqref>
        </x14:conditionalFormatting>
        <x14:conditionalFormatting xmlns:xm="http://schemas.microsoft.com/office/excel/2006/main">
          <x14:cfRule type="expression" priority="20" id="{1F132728-9B2C-4D2C-8580-FE95C61BF01B}">
            <xm:f>AND(Home!$C$8=FALSE,$D82&lt;&gt;"P C Sum",$D82&lt;&gt;"PC Sum",$D82&lt;&gt;"P Sum",$D82&lt;&gt;"Prov Sum")</xm:f>
            <x14:dxf>
              <font>
                <color theme="0"/>
              </font>
            </x14:dxf>
          </x14:cfRule>
          <xm:sqref>G82</xm:sqref>
        </x14:conditionalFormatting>
        <x14:conditionalFormatting xmlns:xm="http://schemas.microsoft.com/office/excel/2006/main">
          <x14:cfRule type="expression" priority="19" id="{0E4D1201-3829-4F66-9AED-56AFD05D083F}">
            <xm:f>AND(Home!$C$8=FALSE,$D88&lt;&gt;"P C Sum",$D88&lt;&gt;"PC Sum",$D88&lt;&gt;"P Sum",$D88&lt;&gt;"Prov Sum")</xm:f>
            <x14:dxf>
              <font>
                <color theme="0"/>
              </font>
            </x14:dxf>
          </x14:cfRule>
          <xm:sqref>G88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2B3D-27AE-4256-B8FB-F7CEB37D4F23}">
  <sheetPr codeName="Sheet22">
    <tabColor theme="3" tint="0.59999389629810485"/>
  </sheetPr>
  <dimension ref="B1:M15"/>
  <sheetViews>
    <sheetView showGridLines="0" view="pageBreakPreview" zoomScaleNormal="100" zoomScaleSheetLayoutView="100" zoomScalePageLayoutView="150" workbookViewId="0">
      <selection activeCell="H7" sqref="H7"/>
    </sheetView>
  </sheetViews>
  <sheetFormatPr defaultColWidth="8.81640625" defaultRowHeight="12.5" x14ac:dyDescent="0.25"/>
  <cols>
    <col min="1" max="1" width="2" style="696" customWidth="1"/>
    <col min="2" max="2" width="8.453125" style="572" customWidth="1"/>
    <col min="3" max="3" width="59" style="717" customWidth="1"/>
    <col min="4" max="4" width="14" style="717" customWidth="1"/>
    <col min="5" max="5" width="27.54296875" style="630" customWidth="1"/>
    <col min="6" max="6" width="1.453125" style="696" customWidth="1"/>
    <col min="7" max="7" width="4.1796875" style="696" customWidth="1"/>
    <col min="8" max="8" width="9.6328125" style="696" customWidth="1"/>
    <col min="9" max="9" width="11.1796875" style="697" customWidth="1"/>
    <col min="10" max="10" width="11.54296875" style="696" bestFit="1" customWidth="1"/>
    <col min="11" max="11" width="8.81640625" style="696"/>
    <col min="12" max="12" width="15.453125" style="696" customWidth="1"/>
    <col min="13" max="13" width="12.54296875" style="696" customWidth="1"/>
    <col min="14" max="14" width="9.1796875" style="696" customWidth="1"/>
    <col min="15" max="16384" width="8.81640625" style="696"/>
  </cols>
  <sheetData>
    <row r="1" spans="2:13" s="691" customFormat="1" ht="18" customHeight="1" x14ac:dyDescent="0.25">
      <c r="B1" s="688" t="str">
        <f>_Client1</f>
        <v>Province of KwaZulu-Natal</v>
      </c>
      <c r="C1" s="689"/>
      <c r="D1" s="778" t="s">
        <v>656</v>
      </c>
      <c r="E1" s="778"/>
      <c r="F1" s="200"/>
      <c r="H1" s="573"/>
      <c r="I1" s="690"/>
      <c r="M1" s="573"/>
    </row>
    <row r="2" spans="2:13" s="691" customFormat="1" ht="16.5" customHeight="1" x14ac:dyDescent="0.25">
      <c r="B2" s="692" t="str">
        <f>_Client2</f>
        <v>Department of Transport</v>
      </c>
      <c r="C2" s="689"/>
      <c r="D2" s="689"/>
      <c r="E2" s="573"/>
      <c r="F2" s="573"/>
      <c r="G2" s="573"/>
      <c r="H2" s="573"/>
      <c r="I2" s="690"/>
      <c r="K2" s="693"/>
      <c r="L2" s="693"/>
      <c r="M2" s="573"/>
    </row>
    <row r="3" spans="2:13" s="691" customFormat="1" ht="13.5" customHeight="1" x14ac:dyDescent="0.25">
      <c r="B3" s="694"/>
      <c r="C3" s="689"/>
      <c r="D3" s="689"/>
      <c r="E3" s="573"/>
      <c r="F3" s="573"/>
      <c r="G3" s="573"/>
      <c r="H3" s="573"/>
      <c r="I3" s="690"/>
      <c r="K3" s="693"/>
      <c r="L3" s="693"/>
      <c r="M3" s="573"/>
    </row>
    <row r="4" spans="2:13" s="691" customFormat="1" ht="13.5" customHeight="1" x14ac:dyDescent="0.25">
      <c r="B4" s="694"/>
      <c r="C4" s="689"/>
      <c r="D4" s="689"/>
      <c r="E4" s="573"/>
      <c r="F4" s="573"/>
      <c r="G4" s="573"/>
      <c r="H4" s="573"/>
      <c r="I4" s="690"/>
      <c r="K4" s="693"/>
      <c r="L4" s="693"/>
      <c r="M4" s="573"/>
    </row>
    <row r="5" spans="2:13" ht="12.75" customHeight="1" x14ac:dyDescent="0.25">
      <c r="B5" s="779" t="str">
        <f>'[2]Sch E'!B6</f>
        <v>SCHEDULE F: EXPANDED PUBLIC WORKS PROGRAMME</v>
      </c>
      <c r="C5" s="780"/>
      <c r="D5" s="780"/>
      <c r="E5" s="780"/>
    </row>
    <row r="6" spans="2:13" ht="12.75" customHeight="1" x14ac:dyDescent="0.25">
      <c r="B6" s="698"/>
      <c r="C6" s="699"/>
      <c r="D6" s="699"/>
      <c r="E6" s="699"/>
    </row>
    <row r="7" spans="2:13" ht="12.75" customHeight="1" x14ac:dyDescent="0.25">
      <c r="B7" s="781" t="s">
        <v>49</v>
      </c>
      <c r="C7" s="781"/>
      <c r="D7" s="781"/>
      <c r="E7" s="781"/>
    </row>
    <row r="8" spans="2:13" ht="12.75" customHeight="1" x14ac:dyDescent="0.25">
      <c r="B8" s="700"/>
      <c r="C8" s="700"/>
      <c r="D8" s="700"/>
      <c r="E8" s="700"/>
    </row>
    <row r="9" spans="2:13" ht="27.9" customHeight="1" x14ac:dyDescent="0.25">
      <c r="B9" s="777" t="s">
        <v>657</v>
      </c>
      <c r="C9" s="777"/>
      <c r="D9" s="777"/>
      <c r="E9" s="777"/>
    </row>
    <row r="10" spans="2:13" ht="5.25" customHeight="1" thickBot="1" x14ac:dyDescent="0.3">
      <c r="B10" s="782"/>
      <c r="C10" s="782"/>
      <c r="D10" s="782"/>
      <c r="E10" s="782"/>
    </row>
    <row r="11" spans="2:13" s="695" customFormat="1" ht="25" customHeight="1" thickBot="1" x14ac:dyDescent="0.3">
      <c r="B11" s="701" t="s">
        <v>20</v>
      </c>
      <c r="C11" s="702" t="s">
        <v>1</v>
      </c>
      <c r="D11" s="703" t="s">
        <v>92</v>
      </c>
      <c r="E11" s="647" t="s">
        <v>5</v>
      </c>
      <c r="I11" s="704"/>
    </row>
    <row r="12" spans="2:13" ht="21" customHeight="1" x14ac:dyDescent="0.25">
      <c r="B12" s="705" t="str">
        <f>'[2]Sch E'!B11</f>
        <v>F1000</v>
      </c>
      <c r="C12" s="706" t="s">
        <v>599</v>
      </c>
      <c r="D12" s="707"/>
      <c r="E12" s="652">
        <f>'Sch F'!H90</f>
        <v>31629428.206</v>
      </c>
      <c r="H12" s="695"/>
      <c r="I12" s="709"/>
    </row>
    <row r="13" spans="2:13" ht="9" customHeight="1" thickBot="1" x14ac:dyDescent="0.3">
      <c r="B13" s="710"/>
      <c r="C13" s="711"/>
      <c r="D13" s="712"/>
      <c r="E13" s="656"/>
      <c r="H13" s="695"/>
      <c r="I13" s="709"/>
    </row>
    <row r="14" spans="2:13" ht="23.5" customHeight="1" thickBot="1" x14ac:dyDescent="0.3">
      <c r="B14" s="714" t="str">
        <f>"TOTAL CARRIED FORWARD TO SUMMARY "</f>
        <v xml:space="preserve">TOTAL CARRIED FORWARD TO SUMMARY </v>
      </c>
      <c r="C14" s="715"/>
      <c r="D14" s="716"/>
      <c r="E14" s="718">
        <f>SUM(E12:E13)</f>
        <v>31629428.206</v>
      </c>
    </row>
    <row r="15" spans="2:13" x14ac:dyDescent="0.25">
      <c r="E15" s="669"/>
    </row>
  </sheetData>
  <sheetProtection algorithmName="SHA-512" hashValue="hfu6hLuEuAish22Wzyn7pwOP9BXvj7P5jGh6c5dC1Z22KQFt2+Ldykvhkywhi690VFkrx+CNOUs8cYtVNHX3xg==" saltValue="q5eeUIl2Eg5VOcjDuBW2EQ==" spinCount="100000" sheet="1" objects="1" scenarios="1"/>
  <mergeCells count="5">
    <mergeCell ref="D1:E1"/>
    <mergeCell ref="B5:E5"/>
    <mergeCell ref="B7:E7"/>
    <mergeCell ref="B10:E10"/>
    <mergeCell ref="B9:E9"/>
  </mergeCells>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EF4C3-74C3-4760-82F3-F2A92CEE7B15}">
  <sheetPr codeName="Sheet23">
    <tabColor rgb="FF92D050"/>
  </sheetPr>
  <dimension ref="A1:N163"/>
  <sheetViews>
    <sheetView showGridLines="0" view="pageBreakPreview" zoomScaleSheetLayoutView="100" workbookViewId="0">
      <pane xSplit="5" ySplit="2" topLeftCell="F3" activePane="bottomRight" state="frozen"/>
      <selection activeCell="F47" sqref="F47"/>
      <selection pane="topRight" activeCell="F47" sqref="F47"/>
      <selection pane="bottomLeft" activeCell="F47" sqref="F47"/>
      <selection pane="bottomRight" activeCell="J3" sqref="J3"/>
    </sheetView>
  </sheetViews>
  <sheetFormatPr defaultColWidth="8.81640625" defaultRowHeight="11.5" x14ac:dyDescent="0.25"/>
  <cols>
    <col min="1" max="1" width="1.1796875" style="178" customWidth="1"/>
    <col min="2" max="2" width="7.453125" style="547" customWidth="1"/>
    <col min="3" max="3" width="41.1796875" style="548" customWidth="1"/>
    <col min="4" max="4" width="9" style="549" customWidth="1"/>
    <col min="5" max="5" width="4.453125" style="549" customWidth="1"/>
    <col min="6" max="6" width="13.6328125" style="549" customWidth="1"/>
    <col min="7" max="7" width="13.54296875" style="178" customWidth="1"/>
    <col min="8" max="8" width="15.1796875" style="687" customWidth="1"/>
    <col min="9" max="9" width="1.1796875" style="178" customWidth="1"/>
    <col min="10" max="10" width="13.54296875" style="185" customWidth="1"/>
    <col min="11" max="12" width="14.1796875" style="185" customWidth="1"/>
    <col min="13" max="13" width="14.1796875" style="182" customWidth="1"/>
    <col min="14" max="16384" width="8.81640625" style="178"/>
  </cols>
  <sheetData>
    <row r="1" spans="1:14" x14ac:dyDescent="0.25">
      <c r="B1" s="179"/>
      <c r="C1" s="180" t="s">
        <v>61</v>
      </c>
      <c r="D1" s="181"/>
      <c r="E1" s="181"/>
      <c r="F1" s="181"/>
      <c r="G1" s="182"/>
      <c r="H1" s="183">
        <f>MAX(H2:H192)</f>
        <v>0</v>
      </c>
      <c r="I1" s="184"/>
    </row>
    <row r="2" spans="1:14" x14ac:dyDescent="0.25">
      <c r="A2" s="182"/>
      <c r="B2" s="190"/>
      <c r="C2" s="191"/>
      <c r="D2" s="191"/>
      <c r="E2" s="191"/>
      <c r="F2" s="191"/>
      <c r="G2" s="191"/>
      <c r="H2" s="191"/>
      <c r="I2" s="192"/>
      <c r="J2" s="193"/>
      <c r="K2" s="193"/>
      <c r="L2" s="193"/>
      <c r="M2" s="193"/>
    </row>
    <row r="3" spans="1:14" s="182" customFormat="1" x14ac:dyDescent="0.25">
      <c r="B3" s="194" t="str">
        <f>_Client1</f>
        <v>Province of KwaZulu-Natal</v>
      </c>
      <c r="C3" s="180"/>
      <c r="D3" s="181"/>
      <c r="F3" s="767" t="s">
        <v>656</v>
      </c>
      <c r="G3" s="767"/>
      <c r="H3" s="767"/>
      <c r="J3" s="185"/>
      <c r="K3" s="185"/>
      <c r="L3" s="185"/>
      <c r="N3" s="181"/>
    </row>
    <row r="4" spans="1:14" s="182" customFormat="1" x14ac:dyDescent="0.25">
      <c r="B4" s="195" t="str">
        <f>_Client2</f>
        <v>Department of Transport</v>
      </c>
      <c r="C4" s="180"/>
      <c r="D4" s="181"/>
      <c r="E4" s="181"/>
      <c r="F4" s="181"/>
      <c r="G4" s="181"/>
      <c r="H4" s="181"/>
      <c r="J4" s="185"/>
      <c r="K4" s="185"/>
      <c r="L4" s="185"/>
      <c r="N4" s="181"/>
    </row>
    <row r="6" spans="1:14" s="182" customFormat="1" x14ac:dyDescent="0.25">
      <c r="B6" s="196" t="s">
        <v>674</v>
      </c>
      <c r="C6" s="550"/>
      <c r="D6" s="551"/>
      <c r="E6" s="551"/>
      <c r="F6" s="768" t="s">
        <v>598</v>
      </c>
      <c r="G6" s="768"/>
      <c r="H6" s="769"/>
      <c r="J6" s="199"/>
      <c r="K6" s="199"/>
      <c r="L6" s="199"/>
      <c r="M6" s="200"/>
    </row>
    <row r="7" spans="1:14" ht="23.15" customHeight="1" x14ac:dyDescent="0.25">
      <c r="B7" s="770" t="s">
        <v>657</v>
      </c>
      <c r="C7" s="771"/>
      <c r="D7" s="771"/>
      <c r="E7" s="771"/>
      <c r="F7" s="771"/>
      <c r="G7" s="771"/>
      <c r="H7" s="772"/>
      <c r="J7" s="201"/>
      <c r="K7" s="201"/>
      <c r="L7" s="201"/>
      <c r="M7" s="202"/>
    </row>
    <row r="8" spans="1:14" ht="8.15" customHeight="1" x14ac:dyDescent="0.25">
      <c r="B8" s="554"/>
      <c r="C8" s="670"/>
      <c r="D8" s="670"/>
      <c r="E8" s="670"/>
      <c r="F8" s="670"/>
      <c r="G8" s="670"/>
      <c r="H8" s="671"/>
      <c r="J8" s="201"/>
      <c r="K8" s="201"/>
      <c r="L8" s="201"/>
      <c r="M8" s="202"/>
    </row>
    <row r="9" spans="1:14" s="557" customFormat="1" ht="20.149999999999999" customHeight="1" x14ac:dyDescent="0.25">
      <c r="B9" s="558" t="s">
        <v>0</v>
      </c>
      <c r="C9" s="559" t="s">
        <v>1</v>
      </c>
      <c r="D9" s="559" t="s">
        <v>2</v>
      </c>
      <c r="E9" s="559" t="s">
        <v>30</v>
      </c>
      <c r="F9" s="559" t="s">
        <v>3</v>
      </c>
      <c r="G9" s="559" t="s">
        <v>4</v>
      </c>
      <c r="H9" s="672" t="s">
        <v>5</v>
      </c>
      <c r="J9" s="193"/>
      <c r="K9" s="193"/>
      <c r="L9" s="193"/>
      <c r="M9" s="211"/>
    </row>
    <row r="10" spans="1:14" x14ac:dyDescent="0.25">
      <c r="B10" s="673"/>
      <c r="C10" s="229"/>
      <c r="D10" s="213"/>
      <c r="E10" s="213"/>
      <c r="F10" s="213"/>
      <c r="G10" s="674"/>
      <c r="H10" s="675" t="str">
        <f>IF(D10="","",F10*G10)</f>
        <v/>
      </c>
      <c r="J10" s="217"/>
      <c r="K10" s="218"/>
      <c r="L10" s="219"/>
      <c r="M10" s="220"/>
    </row>
    <row r="11" spans="1:14" ht="23" x14ac:dyDescent="0.25">
      <c r="B11" s="676" t="s">
        <v>70</v>
      </c>
      <c r="C11" s="563" t="s">
        <v>690</v>
      </c>
      <c r="D11" s="213"/>
      <c r="E11" s="213"/>
      <c r="F11" s="213"/>
      <c r="G11" s="674"/>
      <c r="H11" s="675"/>
      <c r="J11" s="217"/>
      <c r="K11" s="218"/>
      <c r="L11" s="219"/>
      <c r="M11" s="220"/>
    </row>
    <row r="12" spans="1:14" x14ac:dyDescent="0.25">
      <c r="B12" s="673"/>
      <c r="C12" s="677"/>
      <c r="D12" s="213"/>
      <c r="E12" s="213"/>
      <c r="F12" s="213"/>
      <c r="G12" s="674"/>
      <c r="H12" s="675"/>
      <c r="J12" s="217"/>
      <c r="K12" s="218"/>
      <c r="L12" s="219"/>
      <c r="M12" s="220"/>
    </row>
    <row r="13" spans="1:14" x14ac:dyDescent="0.25">
      <c r="B13" s="7" t="s">
        <v>676</v>
      </c>
      <c r="C13" s="11" t="s">
        <v>677</v>
      </c>
      <c r="D13" s="129"/>
      <c r="E13" s="14"/>
      <c r="F13" s="129"/>
      <c r="G13" s="678"/>
      <c r="H13" s="679"/>
      <c r="J13" s="217"/>
      <c r="K13" s="218"/>
      <c r="L13" s="219"/>
      <c r="M13" s="220"/>
    </row>
    <row r="14" spans="1:14" x14ac:dyDescent="0.25">
      <c r="B14" s="7"/>
      <c r="C14" s="11" t="s">
        <v>678</v>
      </c>
      <c r="D14" s="129"/>
      <c r="E14" s="14"/>
      <c r="F14" s="129"/>
      <c r="G14" s="678"/>
      <c r="H14" s="679"/>
      <c r="J14" s="217"/>
      <c r="K14" s="218"/>
      <c r="L14" s="219"/>
      <c r="M14" s="220"/>
    </row>
    <row r="15" spans="1:14" x14ac:dyDescent="0.25">
      <c r="B15" s="7"/>
      <c r="C15" s="2"/>
      <c r="D15" s="3"/>
      <c r="E15" s="1"/>
      <c r="F15" s="3"/>
      <c r="G15" s="681"/>
      <c r="H15" s="680"/>
      <c r="J15" s="217"/>
      <c r="K15" s="218"/>
      <c r="L15" s="219"/>
      <c r="M15" s="220"/>
    </row>
    <row r="16" spans="1:14" x14ac:dyDescent="0.25">
      <c r="B16" s="7"/>
      <c r="C16" s="2" t="s">
        <v>679</v>
      </c>
      <c r="D16" s="3" t="s">
        <v>680</v>
      </c>
      <c r="E16" s="3"/>
      <c r="F16" s="3">
        <v>3</v>
      </c>
      <c r="G16" s="171">
        <v>0</v>
      </c>
      <c r="H16" s="719">
        <f>F16*G16</f>
        <v>0</v>
      </c>
      <c r="J16" s="217"/>
      <c r="K16" s="218"/>
      <c r="L16" s="219"/>
      <c r="M16" s="220"/>
    </row>
    <row r="17" spans="2:13" x14ac:dyDescent="0.25">
      <c r="B17" s="7"/>
      <c r="C17" s="2"/>
      <c r="D17" s="3"/>
      <c r="E17" s="3"/>
      <c r="F17" s="3"/>
      <c r="G17" s="720"/>
      <c r="H17" s="719"/>
      <c r="J17" s="217"/>
      <c r="K17" s="218"/>
      <c r="L17" s="219"/>
      <c r="M17" s="220"/>
    </row>
    <row r="18" spans="2:13" x14ac:dyDescent="0.25">
      <c r="B18" s="7"/>
      <c r="C18" s="2" t="s">
        <v>681</v>
      </c>
      <c r="D18" s="3" t="s">
        <v>680</v>
      </c>
      <c r="E18" s="3"/>
      <c r="F18" s="3">
        <v>3</v>
      </c>
      <c r="G18" s="171">
        <v>0</v>
      </c>
      <c r="H18" s="719">
        <f>F18*G18</f>
        <v>0</v>
      </c>
      <c r="J18" s="217"/>
      <c r="K18" s="218"/>
      <c r="L18" s="219"/>
      <c r="M18" s="220"/>
    </row>
    <row r="19" spans="2:13" x14ac:dyDescent="0.25">
      <c r="B19" s="7"/>
      <c r="C19" s="2"/>
      <c r="D19" s="3"/>
      <c r="E19" s="3"/>
      <c r="F19" s="3"/>
      <c r="G19" s="720"/>
      <c r="H19" s="719"/>
      <c r="J19" s="217"/>
      <c r="K19" s="218"/>
      <c r="L19" s="219"/>
      <c r="M19" s="220"/>
    </row>
    <row r="20" spans="2:13" x14ac:dyDescent="0.25">
      <c r="B20" s="7"/>
      <c r="C20" s="2" t="s">
        <v>682</v>
      </c>
      <c r="D20" s="3"/>
      <c r="E20" s="3"/>
      <c r="F20" s="3"/>
      <c r="G20" s="720"/>
      <c r="H20" s="719"/>
      <c r="J20" s="217"/>
      <c r="K20" s="218"/>
      <c r="L20" s="219"/>
      <c r="M20" s="220"/>
    </row>
    <row r="21" spans="2:13" x14ac:dyDescent="0.25">
      <c r="B21" s="7"/>
      <c r="C21" s="2" t="s">
        <v>683</v>
      </c>
      <c r="D21" s="3"/>
      <c r="E21" s="3"/>
      <c r="F21" s="3"/>
      <c r="G21" s="720"/>
      <c r="H21" s="719"/>
      <c r="J21" s="217"/>
      <c r="K21" s="218"/>
      <c r="L21" s="219"/>
      <c r="M21" s="220"/>
    </row>
    <row r="22" spans="2:13" x14ac:dyDescent="0.25">
      <c r="B22" s="7"/>
      <c r="C22" s="2"/>
      <c r="D22" s="3"/>
      <c r="E22" s="3"/>
      <c r="F22" s="3"/>
      <c r="G22" s="720"/>
      <c r="H22" s="719"/>
      <c r="J22" s="217"/>
      <c r="K22" s="218"/>
      <c r="L22" s="219"/>
      <c r="M22" s="220"/>
    </row>
    <row r="23" spans="2:13" x14ac:dyDescent="0.25">
      <c r="B23" s="7"/>
      <c r="C23" s="2" t="s">
        <v>679</v>
      </c>
      <c r="D23" s="3" t="s">
        <v>680</v>
      </c>
      <c r="E23" s="3"/>
      <c r="F23" s="3">
        <v>3</v>
      </c>
      <c r="G23" s="171">
        <v>0</v>
      </c>
      <c r="H23" s="719">
        <f>F23*G23</f>
        <v>0</v>
      </c>
      <c r="J23" s="217"/>
      <c r="K23" s="218"/>
      <c r="L23" s="219"/>
      <c r="M23" s="220"/>
    </row>
    <row r="24" spans="2:13" x14ac:dyDescent="0.25">
      <c r="B24" s="7"/>
      <c r="C24" s="2"/>
      <c r="D24" s="3"/>
      <c r="E24" s="3"/>
      <c r="F24" s="3"/>
      <c r="G24" s="720"/>
      <c r="H24" s="719"/>
      <c r="J24" s="217"/>
      <c r="K24" s="218"/>
      <c r="L24" s="219"/>
      <c r="M24" s="220"/>
    </row>
    <row r="25" spans="2:13" x14ac:dyDescent="0.25">
      <c r="B25" s="7"/>
      <c r="C25" s="2" t="s">
        <v>681</v>
      </c>
      <c r="D25" s="3" t="s">
        <v>680</v>
      </c>
      <c r="E25" s="3"/>
      <c r="F25" s="3">
        <v>3</v>
      </c>
      <c r="G25" s="171">
        <v>0</v>
      </c>
      <c r="H25" s="719">
        <f>F25*G25</f>
        <v>0</v>
      </c>
      <c r="J25" s="217"/>
      <c r="K25" s="218"/>
      <c r="L25" s="219"/>
      <c r="M25" s="220"/>
    </row>
    <row r="26" spans="2:13" x14ac:dyDescent="0.25">
      <c r="B26" s="7"/>
      <c r="C26" s="2"/>
      <c r="D26" s="3"/>
      <c r="E26" s="3"/>
      <c r="F26" s="3"/>
      <c r="G26" s="720"/>
      <c r="H26" s="719"/>
      <c r="J26" s="217"/>
      <c r="K26" s="218"/>
      <c r="L26" s="219"/>
      <c r="M26" s="220"/>
    </row>
    <row r="27" spans="2:13" x14ac:dyDescent="0.25">
      <c r="B27" s="7"/>
      <c r="C27" s="2" t="s">
        <v>684</v>
      </c>
      <c r="D27" s="3"/>
      <c r="E27" s="3"/>
      <c r="F27" s="3"/>
      <c r="G27" s="720"/>
      <c r="H27" s="719"/>
      <c r="J27" s="217"/>
      <c r="K27" s="218"/>
      <c r="L27" s="219"/>
      <c r="M27" s="220"/>
    </row>
    <row r="28" spans="2:13" x14ac:dyDescent="0.25">
      <c r="B28" s="7"/>
      <c r="C28" s="2" t="s">
        <v>685</v>
      </c>
      <c r="D28" s="3"/>
      <c r="E28" s="3"/>
      <c r="F28" s="3"/>
      <c r="G28" s="720"/>
      <c r="H28" s="719"/>
      <c r="J28" s="217"/>
      <c r="K28" s="218"/>
      <c r="L28" s="219"/>
      <c r="M28" s="220"/>
    </row>
    <row r="29" spans="2:13" x14ac:dyDescent="0.25">
      <c r="B29" s="7"/>
      <c r="C29" s="2"/>
      <c r="D29" s="3"/>
      <c r="E29" s="3"/>
      <c r="F29" s="3"/>
      <c r="G29" s="720"/>
      <c r="H29" s="719"/>
      <c r="J29" s="217"/>
      <c r="K29" s="218"/>
      <c r="L29" s="219"/>
      <c r="M29" s="220"/>
    </row>
    <row r="30" spans="2:13" x14ac:dyDescent="0.25">
      <c r="B30" s="7"/>
      <c r="C30" s="2" t="s">
        <v>679</v>
      </c>
      <c r="D30" s="3" t="s">
        <v>680</v>
      </c>
      <c r="E30" s="3"/>
      <c r="F30" s="3">
        <v>3</v>
      </c>
      <c r="G30" s="171">
        <v>0</v>
      </c>
      <c r="H30" s="719">
        <f>F30*G30</f>
        <v>0</v>
      </c>
      <c r="J30" s="217"/>
      <c r="K30" s="218"/>
      <c r="L30" s="219"/>
      <c r="M30" s="220"/>
    </row>
    <row r="31" spans="2:13" x14ac:dyDescent="0.25">
      <c r="B31" s="7"/>
      <c r="C31" s="2"/>
      <c r="D31" s="3"/>
      <c r="E31" s="3"/>
      <c r="F31" s="3"/>
      <c r="G31" s="720"/>
      <c r="H31" s="719"/>
      <c r="J31" s="217"/>
      <c r="K31" s="218"/>
      <c r="L31" s="219"/>
      <c r="M31" s="220"/>
    </row>
    <row r="32" spans="2:13" x14ac:dyDescent="0.25">
      <c r="B32" s="7"/>
      <c r="C32" s="2" t="s">
        <v>686</v>
      </c>
      <c r="D32" s="3" t="s">
        <v>680</v>
      </c>
      <c r="E32" s="3"/>
      <c r="F32" s="3">
        <v>3</v>
      </c>
      <c r="G32" s="171">
        <v>0</v>
      </c>
      <c r="H32" s="719">
        <f>F32*G32</f>
        <v>0</v>
      </c>
      <c r="J32" s="217"/>
      <c r="K32" s="218"/>
      <c r="L32" s="219"/>
      <c r="M32" s="220"/>
    </row>
    <row r="33" spans="2:13" x14ac:dyDescent="0.25">
      <c r="B33" s="7"/>
      <c r="C33" s="2"/>
      <c r="D33" s="3"/>
      <c r="E33" s="3"/>
      <c r="F33" s="3"/>
      <c r="G33" s="720"/>
      <c r="H33" s="719"/>
      <c r="J33" s="217"/>
      <c r="K33" s="218"/>
      <c r="L33" s="219"/>
      <c r="M33" s="220"/>
    </row>
    <row r="34" spans="2:13" x14ac:dyDescent="0.25">
      <c r="B34" s="7"/>
      <c r="C34" s="2" t="s">
        <v>687</v>
      </c>
      <c r="D34" s="3" t="s">
        <v>680</v>
      </c>
      <c r="E34" s="3"/>
      <c r="F34" s="3">
        <v>3</v>
      </c>
      <c r="G34" s="171">
        <v>0</v>
      </c>
      <c r="H34" s="719">
        <f>F34*G34</f>
        <v>0</v>
      </c>
      <c r="J34" s="217"/>
      <c r="K34" s="218"/>
      <c r="L34" s="219"/>
      <c r="M34" s="220"/>
    </row>
    <row r="35" spans="2:13" x14ac:dyDescent="0.25">
      <c r="B35" s="7"/>
      <c r="C35" s="2"/>
      <c r="D35" s="3"/>
      <c r="E35" s="3"/>
      <c r="F35" s="3"/>
      <c r="G35" s="720"/>
      <c r="H35" s="719"/>
      <c r="J35" s="217"/>
      <c r="K35" s="218"/>
      <c r="L35" s="219"/>
      <c r="M35" s="220"/>
    </row>
    <row r="36" spans="2:13" x14ac:dyDescent="0.25">
      <c r="B36" s="7"/>
      <c r="C36" s="2" t="s">
        <v>688</v>
      </c>
      <c r="D36" s="3"/>
      <c r="E36" s="3"/>
      <c r="F36" s="3"/>
      <c r="G36" s="720"/>
      <c r="H36" s="719"/>
      <c r="J36" s="217"/>
      <c r="K36" s="218"/>
      <c r="L36" s="219"/>
      <c r="M36" s="220"/>
    </row>
    <row r="37" spans="2:13" x14ac:dyDescent="0.25">
      <c r="B37" s="7"/>
      <c r="C37" s="2" t="s">
        <v>689</v>
      </c>
      <c r="D37" s="3"/>
      <c r="E37" s="3"/>
      <c r="F37" s="3"/>
      <c r="G37" s="720"/>
      <c r="H37" s="719"/>
      <c r="J37" s="217"/>
      <c r="K37" s="218"/>
      <c r="L37" s="219"/>
      <c r="M37" s="220"/>
    </row>
    <row r="38" spans="2:13" x14ac:dyDescent="0.25">
      <c r="B38" s="7"/>
      <c r="C38" s="2"/>
      <c r="D38" s="3"/>
      <c r="E38" s="3"/>
      <c r="F38" s="3"/>
      <c r="G38" s="720"/>
      <c r="H38" s="719"/>
      <c r="J38" s="217"/>
      <c r="K38" s="218"/>
      <c r="L38" s="219"/>
      <c r="M38" s="220"/>
    </row>
    <row r="39" spans="2:13" x14ac:dyDescent="0.25">
      <c r="B39" s="7"/>
      <c r="C39" s="2" t="s">
        <v>679</v>
      </c>
      <c r="D39" s="3" t="s">
        <v>680</v>
      </c>
      <c r="E39" s="3"/>
      <c r="F39" s="3">
        <v>3</v>
      </c>
      <c r="G39" s="171">
        <v>0</v>
      </c>
      <c r="H39" s="719">
        <f>F39*G39</f>
        <v>0</v>
      </c>
      <c r="J39" s="217"/>
      <c r="K39" s="218"/>
      <c r="L39" s="219"/>
      <c r="M39" s="220"/>
    </row>
    <row r="40" spans="2:13" x14ac:dyDescent="0.25">
      <c r="B40" s="7"/>
      <c r="C40" s="2"/>
      <c r="D40" s="3"/>
      <c r="E40" s="3"/>
      <c r="F40" s="3"/>
      <c r="G40" s="720"/>
      <c r="H40" s="719"/>
      <c r="J40" s="217"/>
      <c r="K40" s="218"/>
      <c r="L40" s="219"/>
      <c r="M40" s="220"/>
    </row>
    <row r="41" spans="2:13" x14ac:dyDescent="0.25">
      <c r="B41" s="7"/>
      <c r="C41" s="2" t="s">
        <v>686</v>
      </c>
      <c r="D41" s="3" t="s">
        <v>680</v>
      </c>
      <c r="E41" s="3"/>
      <c r="F41" s="3">
        <v>3</v>
      </c>
      <c r="G41" s="171">
        <v>0</v>
      </c>
      <c r="H41" s="719">
        <f>F41*G41</f>
        <v>0</v>
      </c>
      <c r="J41" s="217"/>
      <c r="K41" s="218"/>
      <c r="L41" s="219"/>
      <c r="M41" s="220"/>
    </row>
    <row r="42" spans="2:13" x14ac:dyDescent="0.25">
      <c r="B42" s="7"/>
      <c r="C42" s="2"/>
      <c r="D42" s="3"/>
      <c r="E42" s="3"/>
      <c r="F42" s="3"/>
      <c r="G42" s="720"/>
      <c r="H42" s="719"/>
      <c r="J42" s="217"/>
      <c r="K42" s="218"/>
      <c r="L42" s="219"/>
      <c r="M42" s="220"/>
    </row>
    <row r="43" spans="2:13" x14ac:dyDescent="0.25">
      <c r="B43" s="7"/>
      <c r="C43" s="2" t="s">
        <v>687</v>
      </c>
      <c r="D43" s="3" t="s">
        <v>680</v>
      </c>
      <c r="E43" s="3"/>
      <c r="F43" s="3">
        <v>3</v>
      </c>
      <c r="G43" s="171">
        <v>0</v>
      </c>
      <c r="H43" s="719">
        <f>F43*G43</f>
        <v>0</v>
      </c>
      <c r="J43" s="217"/>
      <c r="K43" s="218"/>
      <c r="L43" s="219"/>
      <c r="M43" s="220"/>
    </row>
    <row r="44" spans="2:13" x14ac:dyDescent="0.25">
      <c r="B44" s="7"/>
      <c r="C44" s="2"/>
      <c r="D44" s="3"/>
      <c r="E44" s="3"/>
      <c r="F44" s="3"/>
      <c r="G44" s="720"/>
      <c r="H44" s="719"/>
      <c r="J44" s="218"/>
      <c r="K44" s="218"/>
      <c r="L44" s="219"/>
      <c r="M44" s="220"/>
    </row>
    <row r="45" spans="2:13" ht="24.75" customHeight="1" x14ac:dyDescent="0.25">
      <c r="B45" s="585" t="s">
        <v>70</v>
      </c>
      <c r="C45" s="249" t="str">
        <f>"TOTAL CARRIED FORWARD"&amp;IF(H45=H$1," TO SUMMARY ")</f>
        <v xml:space="preserve">TOTAL CARRIED FORWARD TO SUMMARY </v>
      </c>
      <c r="D45" s="586"/>
      <c r="E45" s="586"/>
      <c r="F45" s="587"/>
      <c r="G45" s="685"/>
      <c r="H45" s="686">
        <f>SUM(H10:H44)</f>
        <v>0</v>
      </c>
      <c r="J45" s="254"/>
      <c r="K45" s="254"/>
      <c r="L45" s="255"/>
      <c r="M45" s="256"/>
    </row>
    <row r="46" spans="2:13" ht="5.25" customHeight="1" x14ac:dyDescent="0.25">
      <c r="L46" s="263"/>
    </row>
    <row r="47" spans="2:13" x14ac:dyDescent="0.25">
      <c r="L47" s="263"/>
    </row>
    <row r="48" spans="2:13" x14ac:dyDescent="0.25">
      <c r="L48" s="263"/>
    </row>
    <row r="49" spans="1:14" x14ac:dyDescent="0.25">
      <c r="L49" s="263"/>
    </row>
    <row r="50" spans="1:14" x14ac:dyDescent="0.25">
      <c r="L50" s="263"/>
    </row>
    <row r="51" spans="1:14" x14ac:dyDescent="0.25">
      <c r="L51" s="263"/>
    </row>
    <row r="52" spans="1:14" x14ac:dyDescent="0.25">
      <c r="L52" s="263"/>
    </row>
    <row r="53" spans="1:14" x14ac:dyDescent="0.25">
      <c r="L53" s="263"/>
    </row>
    <row r="54" spans="1:14" x14ac:dyDescent="0.25">
      <c r="L54" s="263"/>
    </row>
    <row r="55" spans="1:14" x14ac:dyDescent="0.25">
      <c r="L55" s="263"/>
    </row>
    <row r="56" spans="1:14" x14ac:dyDescent="0.25">
      <c r="L56" s="263"/>
    </row>
    <row r="57" spans="1:14" x14ac:dyDescent="0.25">
      <c r="L57" s="263"/>
    </row>
    <row r="58" spans="1:14" x14ac:dyDescent="0.25">
      <c r="L58" s="263"/>
    </row>
    <row r="59" spans="1:14" x14ac:dyDescent="0.25">
      <c r="L59" s="263"/>
    </row>
    <row r="60" spans="1:14" s="182" customFormat="1" x14ac:dyDescent="0.25">
      <c r="A60" s="178"/>
      <c r="B60" s="547"/>
      <c r="C60" s="548"/>
      <c r="D60" s="549"/>
      <c r="E60" s="549"/>
      <c r="F60" s="549"/>
      <c r="G60" s="178"/>
      <c r="H60" s="687"/>
      <c r="I60" s="178"/>
      <c r="J60" s="185"/>
      <c r="K60" s="185"/>
      <c r="L60" s="263"/>
      <c r="N60" s="178"/>
    </row>
    <row r="61" spans="1:14" s="182" customFormat="1" x14ac:dyDescent="0.25">
      <c r="A61" s="178"/>
      <c r="B61" s="547"/>
      <c r="C61" s="548"/>
      <c r="D61" s="549"/>
      <c r="E61" s="549"/>
      <c r="F61" s="549"/>
      <c r="G61" s="178"/>
      <c r="H61" s="687"/>
      <c r="I61" s="178"/>
      <c r="J61" s="185"/>
      <c r="K61" s="185"/>
      <c r="L61" s="263"/>
      <c r="N61" s="178"/>
    </row>
    <row r="62" spans="1:14" s="182" customFormat="1" x14ac:dyDescent="0.25">
      <c r="A62" s="178"/>
      <c r="B62" s="547"/>
      <c r="C62" s="548"/>
      <c r="D62" s="549"/>
      <c r="E62" s="549"/>
      <c r="F62" s="549"/>
      <c r="G62" s="178"/>
      <c r="H62" s="687"/>
      <c r="I62" s="178"/>
      <c r="J62" s="185"/>
      <c r="K62" s="185"/>
      <c r="L62" s="263"/>
      <c r="N62" s="178"/>
    </row>
    <row r="63" spans="1:14" s="182" customFormat="1" x14ac:dyDescent="0.25">
      <c r="A63" s="178"/>
      <c r="B63" s="547"/>
      <c r="C63" s="548"/>
      <c r="D63" s="549"/>
      <c r="E63" s="549"/>
      <c r="F63" s="549"/>
      <c r="G63" s="178"/>
      <c r="H63" s="687"/>
      <c r="I63" s="178"/>
      <c r="J63" s="185"/>
      <c r="K63" s="185"/>
      <c r="L63" s="263"/>
      <c r="N63" s="178"/>
    </row>
    <row r="64" spans="1:14" s="182" customFormat="1" x14ac:dyDescent="0.25">
      <c r="A64" s="178"/>
      <c r="B64" s="547"/>
      <c r="C64" s="548"/>
      <c r="D64" s="549"/>
      <c r="E64" s="549"/>
      <c r="F64" s="549"/>
      <c r="G64" s="178"/>
      <c r="H64" s="687"/>
      <c r="I64" s="178"/>
      <c r="J64" s="185"/>
      <c r="K64" s="185"/>
      <c r="L64" s="263"/>
      <c r="N64" s="178"/>
    </row>
    <row r="65" spans="1:14" s="182" customFormat="1" x14ac:dyDescent="0.25">
      <c r="A65" s="178"/>
      <c r="B65" s="547"/>
      <c r="C65" s="548"/>
      <c r="D65" s="549"/>
      <c r="E65" s="549"/>
      <c r="F65" s="549"/>
      <c r="G65" s="178"/>
      <c r="H65" s="687"/>
      <c r="I65" s="178"/>
      <c r="J65" s="185"/>
      <c r="K65" s="185"/>
      <c r="L65" s="263"/>
      <c r="N65" s="178"/>
    </row>
    <row r="66" spans="1:14" s="182" customFormat="1" x14ac:dyDescent="0.25">
      <c r="A66" s="178"/>
      <c r="B66" s="547"/>
      <c r="C66" s="548"/>
      <c r="D66" s="549"/>
      <c r="E66" s="549"/>
      <c r="F66" s="549"/>
      <c r="G66" s="178"/>
      <c r="H66" s="687"/>
      <c r="I66" s="178"/>
      <c r="J66" s="185"/>
      <c r="K66" s="185"/>
      <c r="L66" s="263"/>
      <c r="N66" s="178"/>
    </row>
    <row r="67" spans="1:14" s="182" customFormat="1" x14ac:dyDescent="0.25">
      <c r="A67" s="178"/>
      <c r="B67" s="547"/>
      <c r="C67" s="548"/>
      <c r="D67" s="549"/>
      <c r="E67" s="549"/>
      <c r="F67" s="549"/>
      <c r="G67" s="178"/>
      <c r="H67" s="687"/>
      <c r="I67" s="178"/>
      <c r="J67" s="185"/>
      <c r="K67" s="185"/>
      <c r="L67" s="263"/>
      <c r="N67" s="178"/>
    </row>
    <row r="68" spans="1:14" s="182" customFormat="1" x14ac:dyDescent="0.25">
      <c r="A68" s="178"/>
      <c r="B68" s="547"/>
      <c r="C68" s="548"/>
      <c r="D68" s="549"/>
      <c r="E68" s="549"/>
      <c r="F68" s="549"/>
      <c r="G68" s="178"/>
      <c r="H68" s="687"/>
      <c r="I68" s="178"/>
      <c r="J68" s="185"/>
      <c r="K68" s="185"/>
      <c r="L68" s="263"/>
      <c r="N68" s="178"/>
    </row>
    <row r="69" spans="1:14" s="182" customFormat="1" x14ac:dyDescent="0.25">
      <c r="A69" s="178"/>
      <c r="B69" s="547"/>
      <c r="C69" s="548"/>
      <c r="D69" s="549"/>
      <c r="E69" s="549"/>
      <c r="F69" s="549"/>
      <c r="G69" s="178"/>
      <c r="H69" s="687"/>
      <c r="I69" s="178"/>
      <c r="J69" s="185"/>
      <c r="K69" s="185"/>
      <c r="L69" s="263"/>
      <c r="N69" s="178"/>
    </row>
    <row r="70" spans="1:14" s="182" customFormat="1" x14ac:dyDescent="0.25">
      <c r="A70" s="178"/>
      <c r="B70" s="547"/>
      <c r="C70" s="548"/>
      <c r="D70" s="549"/>
      <c r="E70" s="549"/>
      <c r="F70" s="549"/>
      <c r="G70" s="178"/>
      <c r="H70" s="687"/>
      <c r="I70" s="178"/>
      <c r="J70" s="185"/>
      <c r="K70" s="185"/>
      <c r="L70" s="263"/>
      <c r="N70" s="178"/>
    </row>
    <row r="71" spans="1:14" s="182" customFormat="1" x14ac:dyDescent="0.25">
      <c r="A71" s="178"/>
      <c r="B71" s="547"/>
      <c r="C71" s="548"/>
      <c r="D71" s="549"/>
      <c r="E71" s="549"/>
      <c r="F71" s="549"/>
      <c r="G71" s="178"/>
      <c r="H71" s="687"/>
      <c r="I71" s="178"/>
      <c r="J71" s="185"/>
      <c r="K71" s="185"/>
      <c r="L71" s="263"/>
      <c r="N71" s="178"/>
    </row>
    <row r="72" spans="1:14" s="182" customFormat="1" x14ac:dyDescent="0.25">
      <c r="A72" s="178"/>
      <c r="B72" s="547"/>
      <c r="C72" s="548"/>
      <c r="D72" s="549"/>
      <c r="E72" s="549"/>
      <c r="F72" s="549"/>
      <c r="G72" s="178"/>
      <c r="H72" s="687"/>
      <c r="I72" s="178"/>
      <c r="J72" s="185"/>
      <c r="K72" s="185"/>
      <c r="L72" s="263"/>
      <c r="N72" s="178"/>
    </row>
    <row r="73" spans="1:14" s="182" customFormat="1" x14ac:dyDescent="0.25">
      <c r="A73" s="178"/>
      <c r="B73" s="547"/>
      <c r="C73" s="548"/>
      <c r="D73" s="549"/>
      <c r="E73" s="549"/>
      <c r="F73" s="549"/>
      <c r="G73" s="178"/>
      <c r="H73" s="687"/>
      <c r="I73" s="178"/>
      <c r="J73" s="185"/>
      <c r="K73" s="185"/>
      <c r="L73" s="263"/>
      <c r="N73" s="178"/>
    </row>
    <row r="74" spans="1:14" s="182" customFormat="1" x14ac:dyDescent="0.25">
      <c r="A74" s="178"/>
      <c r="B74" s="547"/>
      <c r="C74" s="548"/>
      <c r="D74" s="549"/>
      <c r="E74" s="549"/>
      <c r="F74" s="549"/>
      <c r="G74" s="178"/>
      <c r="H74" s="687"/>
      <c r="I74" s="178"/>
      <c r="J74" s="185"/>
      <c r="K74" s="185"/>
      <c r="L74" s="263"/>
      <c r="N74" s="178"/>
    </row>
    <row r="75" spans="1:14" s="182" customFormat="1" x14ac:dyDescent="0.25">
      <c r="A75" s="178"/>
      <c r="B75" s="547"/>
      <c r="C75" s="548"/>
      <c r="D75" s="549"/>
      <c r="E75" s="549"/>
      <c r="F75" s="549"/>
      <c r="G75" s="178"/>
      <c r="H75" s="687"/>
      <c r="I75" s="178"/>
      <c r="J75" s="185"/>
      <c r="K75" s="185"/>
      <c r="L75" s="263"/>
      <c r="N75" s="178"/>
    </row>
    <row r="76" spans="1:14" s="182" customFormat="1" x14ac:dyDescent="0.25">
      <c r="A76" s="178"/>
      <c r="B76" s="547"/>
      <c r="C76" s="548"/>
      <c r="D76" s="549"/>
      <c r="E76" s="549"/>
      <c r="F76" s="549"/>
      <c r="G76" s="178"/>
      <c r="H76" s="687"/>
      <c r="I76" s="178"/>
      <c r="J76" s="185"/>
      <c r="K76" s="185"/>
      <c r="L76" s="263"/>
      <c r="N76" s="178"/>
    </row>
    <row r="77" spans="1:14" s="182" customFormat="1" x14ac:dyDescent="0.25">
      <c r="A77" s="178"/>
      <c r="B77" s="547"/>
      <c r="C77" s="548"/>
      <c r="D77" s="549"/>
      <c r="E77" s="549"/>
      <c r="F77" s="549"/>
      <c r="G77" s="178"/>
      <c r="H77" s="687"/>
      <c r="I77" s="178"/>
      <c r="J77" s="185"/>
      <c r="K77" s="185"/>
      <c r="L77" s="263"/>
      <c r="N77" s="178"/>
    </row>
    <row r="78" spans="1:14" s="182" customFormat="1" x14ac:dyDescent="0.25">
      <c r="A78" s="178"/>
      <c r="B78" s="547"/>
      <c r="C78" s="548"/>
      <c r="D78" s="549"/>
      <c r="E78" s="549"/>
      <c r="F78" s="549"/>
      <c r="G78" s="178"/>
      <c r="H78" s="687"/>
      <c r="I78" s="178"/>
      <c r="J78" s="185"/>
      <c r="K78" s="185"/>
      <c r="L78" s="263"/>
      <c r="N78" s="178"/>
    </row>
    <row r="79" spans="1:14" s="182" customFormat="1" x14ac:dyDescent="0.25">
      <c r="A79" s="178"/>
      <c r="B79" s="547"/>
      <c r="C79" s="548"/>
      <c r="D79" s="549"/>
      <c r="E79" s="549"/>
      <c r="F79" s="549"/>
      <c r="G79" s="178"/>
      <c r="H79" s="687"/>
      <c r="I79" s="178"/>
      <c r="J79" s="185"/>
      <c r="K79" s="185"/>
      <c r="L79" s="263"/>
      <c r="N79" s="178"/>
    </row>
    <row r="80" spans="1:14" s="182" customFormat="1" x14ac:dyDescent="0.25">
      <c r="A80" s="178"/>
      <c r="B80" s="547"/>
      <c r="C80" s="548"/>
      <c r="D80" s="549"/>
      <c r="E80" s="549"/>
      <c r="F80" s="549"/>
      <c r="G80" s="178"/>
      <c r="H80" s="687"/>
      <c r="I80" s="178"/>
      <c r="J80" s="185"/>
      <c r="K80" s="185"/>
      <c r="L80" s="263"/>
      <c r="N80" s="178"/>
    </row>
    <row r="81" spans="1:14" s="182" customFormat="1" x14ac:dyDescent="0.25">
      <c r="A81" s="178"/>
      <c r="B81" s="547"/>
      <c r="C81" s="548"/>
      <c r="D81" s="549"/>
      <c r="E81" s="549"/>
      <c r="F81" s="549"/>
      <c r="G81" s="178"/>
      <c r="H81" s="687"/>
      <c r="I81" s="178"/>
      <c r="J81" s="185"/>
      <c r="K81" s="185"/>
      <c r="L81" s="263"/>
      <c r="N81" s="178"/>
    </row>
    <row r="82" spans="1:14" s="182" customFormat="1" x14ac:dyDescent="0.25">
      <c r="A82" s="178"/>
      <c r="B82" s="547"/>
      <c r="C82" s="548"/>
      <c r="D82" s="549"/>
      <c r="E82" s="549"/>
      <c r="F82" s="549"/>
      <c r="G82" s="178"/>
      <c r="H82" s="687"/>
      <c r="I82" s="178"/>
      <c r="J82" s="185"/>
      <c r="K82" s="185"/>
      <c r="L82" s="263"/>
      <c r="N82" s="178"/>
    </row>
    <row r="83" spans="1:14" s="182" customFormat="1" x14ac:dyDescent="0.25">
      <c r="A83" s="178"/>
      <c r="B83" s="547"/>
      <c r="C83" s="548"/>
      <c r="D83" s="549"/>
      <c r="E83" s="549"/>
      <c r="F83" s="549"/>
      <c r="G83" s="178"/>
      <c r="H83" s="687"/>
      <c r="I83" s="178"/>
      <c r="J83" s="185"/>
      <c r="K83" s="185"/>
      <c r="L83" s="263"/>
      <c r="N83" s="178"/>
    </row>
    <row r="84" spans="1:14" s="182" customFormat="1" x14ac:dyDescent="0.25">
      <c r="A84" s="178"/>
      <c r="B84" s="547"/>
      <c r="C84" s="548"/>
      <c r="D84" s="549"/>
      <c r="E84" s="549"/>
      <c r="F84" s="549"/>
      <c r="G84" s="178"/>
      <c r="H84" s="687"/>
      <c r="I84" s="178"/>
      <c r="J84" s="185"/>
      <c r="K84" s="185"/>
      <c r="L84" s="263"/>
      <c r="N84" s="178"/>
    </row>
    <row r="85" spans="1:14" s="182" customFormat="1" x14ac:dyDescent="0.25">
      <c r="A85" s="178"/>
      <c r="B85" s="547"/>
      <c r="C85" s="548"/>
      <c r="D85" s="549"/>
      <c r="E85" s="549"/>
      <c r="F85" s="549"/>
      <c r="G85" s="178"/>
      <c r="H85" s="687"/>
      <c r="I85" s="178"/>
      <c r="J85" s="185"/>
      <c r="K85" s="185"/>
      <c r="L85" s="263"/>
      <c r="N85" s="178"/>
    </row>
    <row r="86" spans="1:14" s="182" customFormat="1" x14ac:dyDescent="0.25">
      <c r="A86" s="178"/>
      <c r="B86" s="547"/>
      <c r="C86" s="548"/>
      <c r="D86" s="549"/>
      <c r="E86" s="549"/>
      <c r="F86" s="549"/>
      <c r="G86" s="178"/>
      <c r="H86" s="687"/>
      <c r="I86" s="178"/>
      <c r="J86" s="185"/>
      <c r="K86" s="185"/>
      <c r="L86" s="263"/>
      <c r="N86" s="178"/>
    </row>
    <row r="87" spans="1:14" s="182" customFormat="1" x14ac:dyDescent="0.25">
      <c r="A87" s="178"/>
      <c r="B87" s="547"/>
      <c r="C87" s="548"/>
      <c r="D87" s="549"/>
      <c r="E87" s="549"/>
      <c r="F87" s="549"/>
      <c r="G87" s="178"/>
      <c r="H87" s="687"/>
      <c r="I87" s="178"/>
      <c r="J87" s="185"/>
      <c r="K87" s="185"/>
      <c r="L87" s="263"/>
      <c r="N87" s="178"/>
    </row>
    <row r="88" spans="1:14" s="182" customFormat="1" x14ac:dyDescent="0.25">
      <c r="A88" s="178"/>
      <c r="B88" s="547"/>
      <c r="C88" s="548"/>
      <c r="D88" s="549"/>
      <c r="E88" s="549"/>
      <c r="F88" s="549"/>
      <c r="G88" s="178"/>
      <c r="H88" s="687"/>
      <c r="I88" s="178"/>
      <c r="J88" s="185"/>
      <c r="K88" s="185"/>
      <c r="L88" s="263"/>
      <c r="N88" s="178"/>
    </row>
    <row r="89" spans="1:14" s="182" customFormat="1" x14ac:dyDescent="0.25">
      <c r="A89" s="178"/>
      <c r="B89" s="547"/>
      <c r="C89" s="548"/>
      <c r="D89" s="549"/>
      <c r="E89" s="549"/>
      <c r="F89" s="549"/>
      <c r="G89" s="178"/>
      <c r="H89" s="687"/>
      <c r="I89" s="178"/>
      <c r="J89" s="185"/>
      <c r="K89" s="185"/>
      <c r="L89" s="263"/>
      <c r="N89" s="178"/>
    </row>
    <row r="90" spans="1:14" s="182" customFormat="1" x14ac:dyDescent="0.25">
      <c r="A90" s="178"/>
      <c r="B90" s="547"/>
      <c r="C90" s="548"/>
      <c r="D90" s="549"/>
      <c r="E90" s="549"/>
      <c r="F90" s="549"/>
      <c r="G90" s="178"/>
      <c r="H90" s="687"/>
      <c r="I90" s="178"/>
      <c r="J90" s="185"/>
      <c r="K90" s="185"/>
      <c r="L90" s="263"/>
      <c r="N90" s="178"/>
    </row>
    <row r="91" spans="1:14" s="182" customFormat="1" x14ac:dyDescent="0.25">
      <c r="A91" s="178"/>
      <c r="B91" s="547"/>
      <c r="C91" s="548"/>
      <c r="D91" s="549"/>
      <c r="E91" s="549"/>
      <c r="F91" s="549"/>
      <c r="G91" s="178"/>
      <c r="H91" s="687"/>
      <c r="I91" s="178"/>
      <c r="J91" s="185"/>
      <c r="K91" s="185"/>
      <c r="L91" s="263"/>
      <c r="N91" s="178"/>
    </row>
    <row r="92" spans="1:14" s="182" customFormat="1" x14ac:dyDescent="0.25">
      <c r="A92" s="178"/>
      <c r="B92" s="547"/>
      <c r="C92" s="548"/>
      <c r="D92" s="549"/>
      <c r="E92" s="549"/>
      <c r="F92" s="549"/>
      <c r="G92" s="178"/>
      <c r="H92" s="687"/>
      <c r="I92" s="178"/>
      <c r="J92" s="185"/>
      <c r="K92" s="185"/>
      <c r="L92" s="263"/>
      <c r="N92" s="178"/>
    </row>
    <row r="93" spans="1:14" s="182" customFormat="1" x14ac:dyDescent="0.25">
      <c r="A93" s="178"/>
      <c r="B93" s="547"/>
      <c r="C93" s="548"/>
      <c r="D93" s="549"/>
      <c r="E93" s="549"/>
      <c r="F93" s="549"/>
      <c r="G93" s="178"/>
      <c r="H93" s="687"/>
      <c r="I93" s="178"/>
      <c r="J93" s="185"/>
      <c r="K93" s="185"/>
      <c r="L93" s="263"/>
      <c r="N93" s="178"/>
    </row>
    <row r="94" spans="1:14" s="182" customFormat="1" x14ac:dyDescent="0.25">
      <c r="A94" s="178"/>
      <c r="B94" s="547"/>
      <c r="C94" s="548"/>
      <c r="D94" s="549"/>
      <c r="E94" s="549"/>
      <c r="F94" s="549"/>
      <c r="G94" s="178"/>
      <c r="H94" s="687"/>
      <c r="I94" s="178"/>
      <c r="J94" s="185"/>
      <c r="K94" s="185"/>
      <c r="L94" s="263"/>
      <c r="N94" s="178"/>
    </row>
    <row r="95" spans="1:14" s="182" customFormat="1" x14ac:dyDescent="0.25">
      <c r="A95" s="178"/>
      <c r="B95" s="547"/>
      <c r="C95" s="548"/>
      <c r="D95" s="549"/>
      <c r="E95" s="549"/>
      <c r="F95" s="549"/>
      <c r="G95" s="178"/>
      <c r="H95" s="687"/>
      <c r="I95" s="178"/>
      <c r="J95" s="185"/>
      <c r="K95" s="185"/>
      <c r="L95" s="263"/>
      <c r="N95" s="178"/>
    </row>
    <row r="96" spans="1:14" s="182" customFormat="1" x14ac:dyDescent="0.25">
      <c r="A96" s="178"/>
      <c r="B96" s="547"/>
      <c r="C96" s="548"/>
      <c r="D96" s="549"/>
      <c r="E96" s="549"/>
      <c r="F96" s="549"/>
      <c r="G96" s="178"/>
      <c r="H96" s="687"/>
      <c r="I96" s="178"/>
      <c r="J96" s="185"/>
      <c r="K96" s="185"/>
      <c r="L96" s="263"/>
      <c r="N96" s="178"/>
    </row>
    <row r="97" spans="1:14" s="182" customFormat="1" x14ac:dyDescent="0.25">
      <c r="A97" s="178"/>
      <c r="B97" s="547"/>
      <c r="C97" s="548"/>
      <c r="D97" s="549"/>
      <c r="E97" s="549"/>
      <c r="F97" s="549"/>
      <c r="G97" s="178"/>
      <c r="H97" s="687"/>
      <c r="I97" s="178"/>
      <c r="J97" s="185"/>
      <c r="K97" s="185"/>
      <c r="L97" s="263"/>
      <c r="N97" s="178"/>
    </row>
    <row r="98" spans="1:14" s="182" customFormat="1" x14ac:dyDescent="0.25">
      <c r="A98" s="178"/>
      <c r="B98" s="547"/>
      <c r="C98" s="548"/>
      <c r="D98" s="549"/>
      <c r="E98" s="549"/>
      <c r="F98" s="549"/>
      <c r="G98" s="178"/>
      <c r="H98" s="687"/>
      <c r="I98" s="178"/>
      <c r="J98" s="185"/>
      <c r="K98" s="185"/>
      <c r="L98" s="263"/>
      <c r="N98" s="178"/>
    </row>
    <row r="99" spans="1:14" s="182" customFormat="1" x14ac:dyDescent="0.25">
      <c r="A99" s="178"/>
      <c r="B99" s="547"/>
      <c r="C99" s="548"/>
      <c r="D99" s="549"/>
      <c r="E99" s="549"/>
      <c r="F99" s="549"/>
      <c r="G99" s="178"/>
      <c r="H99" s="687"/>
      <c r="I99" s="178"/>
      <c r="J99" s="185"/>
      <c r="K99" s="185"/>
      <c r="L99" s="263"/>
      <c r="N99" s="178"/>
    </row>
    <row r="100" spans="1:14" s="182" customFormat="1" x14ac:dyDescent="0.25">
      <c r="A100" s="178"/>
      <c r="B100" s="547"/>
      <c r="C100" s="548"/>
      <c r="D100" s="549"/>
      <c r="E100" s="549"/>
      <c r="F100" s="549"/>
      <c r="G100" s="178"/>
      <c r="H100" s="687"/>
      <c r="I100" s="178"/>
      <c r="J100" s="185"/>
      <c r="K100" s="185"/>
      <c r="L100" s="263"/>
      <c r="N100" s="178"/>
    </row>
    <row r="101" spans="1:14" s="182" customFormat="1" x14ac:dyDescent="0.25">
      <c r="A101" s="178"/>
      <c r="B101" s="547"/>
      <c r="C101" s="548"/>
      <c r="D101" s="549"/>
      <c r="E101" s="549"/>
      <c r="F101" s="549"/>
      <c r="G101" s="178"/>
      <c r="H101" s="687"/>
      <c r="I101" s="178"/>
      <c r="J101" s="185"/>
      <c r="K101" s="185"/>
      <c r="L101" s="263"/>
      <c r="N101" s="178"/>
    </row>
    <row r="102" spans="1:14" s="182" customFormat="1" x14ac:dyDescent="0.25">
      <c r="A102" s="178"/>
      <c r="B102" s="547"/>
      <c r="C102" s="548"/>
      <c r="D102" s="549"/>
      <c r="E102" s="549"/>
      <c r="F102" s="549"/>
      <c r="G102" s="178"/>
      <c r="H102" s="687"/>
      <c r="I102" s="178"/>
      <c r="J102" s="185"/>
      <c r="K102" s="185"/>
      <c r="L102" s="263"/>
      <c r="N102" s="178"/>
    </row>
    <row r="103" spans="1:14" s="182" customFormat="1" x14ac:dyDescent="0.25">
      <c r="A103" s="178"/>
      <c r="B103" s="547"/>
      <c r="C103" s="548"/>
      <c r="D103" s="549"/>
      <c r="E103" s="549"/>
      <c r="F103" s="549"/>
      <c r="G103" s="178"/>
      <c r="H103" s="687"/>
      <c r="I103" s="178"/>
      <c r="J103" s="185"/>
      <c r="K103" s="185"/>
      <c r="L103" s="263"/>
      <c r="N103" s="178"/>
    </row>
    <row r="104" spans="1:14" s="182" customFormat="1" x14ac:dyDescent="0.25">
      <c r="A104" s="178"/>
      <c r="B104" s="547"/>
      <c r="C104" s="548"/>
      <c r="D104" s="549"/>
      <c r="E104" s="549"/>
      <c r="F104" s="549"/>
      <c r="G104" s="178"/>
      <c r="H104" s="687"/>
      <c r="I104" s="178"/>
      <c r="J104" s="185"/>
      <c r="K104" s="185"/>
      <c r="L104" s="263"/>
      <c r="N104" s="178"/>
    </row>
    <row r="105" spans="1:14" s="182" customFormat="1" x14ac:dyDescent="0.25">
      <c r="A105" s="178"/>
      <c r="B105" s="547"/>
      <c r="C105" s="548"/>
      <c r="D105" s="549"/>
      <c r="E105" s="549"/>
      <c r="F105" s="549"/>
      <c r="G105" s="178"/>
      <c r="H105" s="687"/>
      <c r="I105" s="178"/>
      <c r="J105" s="185"/>
      <c r="K105" s="185"/>
      <c r="L105" s="263"/>
      <c r="N105" s="178"/>
    </row>
    <row r="106" spans="1:14" s="182" customFormat="1" x14ac:dyDescent="0.25">
      <c r="A106" s="178"/>
      <c r="B106" s="547"/>
      <c r="C106" s="548"/>
      <c r="D106" s="549"/>
      <c r="E106" s="549"/>
      <c r="F106" s="549"/>
      <c r="G106" s="178"/>
      <c r="H106" s="687"/>
      <c r="I106" s="178"/>
      <c r="J106" s="185"/>
      <c r="K106" s="185"/>
      <c r="L106" s="263"/>
      <c r="N106" s="178"/>
    </row>
    <row r="107" spans="1:14" s="182" customFormat="1" x14ac:dyDescent="0.25">
      <c r="A107" s="178"/>
      <c r="B107" s="547"/>
      <c r="C107" s="548"/>
      <c r="D107" s="549"/>
      <c r="E107" s="549"/>
      <c r="F107" s="549"/>
      <c r="G107" s="178"/>
      <c r="H107" s="687"/>
      <c r="I107" s="178"/>
      <c r="J107" s="185"/>
      <c r="K107" s="185"/>
      <c r="L107" s="263"/>
      <c r="N107" s="178"/>
    </row>
    <row r="108" spans="1:14" s="182" customFormat="1" x14ac:dyDescent="0.25">
      <c r="A108" s="178"/>
      <c r="B108" s="547"/>
      <c r="C108" s="548"/>
      <c r="D108" s="549"/>
      <c r="E108" s="549"/>
      <c r="F108" s="549"/>
      <c r="G108" s="178"/>
      <c r="H108" s="687"/>
      <c r="I108" s="178"/>
      <c r="J108" s="185"/>
      <c r="K108" s="185"/>
      <c r="L108" s="263"/>
      <c r="N108" s="178"/>
    </row>
    <row r="109" spans="1:14" s="182" customFormat="1" x14ac:dyDescent="0.25">
      <c r="A109" s="178"/>
      <c r="B109" s="547"/>
      <c r="C109" s="548"/>
      <c r="D109" s="549"/>
      <c r="E109" s="549"/>
      <c r="F109" s="549"/>
      <c r="G109" s="178"/>
      <c r="H109" s="687"/>
      <c r="I109" s="178"/>
      <c r="J109" s="185"/>
      <c r="K109" s="185"/>
      <c r="L109" s="263"/>
      <c r="N109" s="178"/>
    </row>
    <row r="110" spans="1:14" s="182" customFormat="1" x14ac:dyDescent="0.25">
      <c r="A110" s="178"/>
      <c r="B110" s="547"/>
      <c r="C110" s="548"/>
      <c r="D110" s="549"/>
      <c r="E110" s="549"/>
      <c r="F110" s="549"/>
      <c r="G110" s="178"/>
      <c r="H110" s="687"/>
      <c r="I110" s="178"/>
      <c r="J110" s="185"/>
      <c r="K110" s="185"/>
      <c r="L110" s="263"/>
      <c r="N110" s="178"/>
    </row>
    <row r="111" spans="1:14" s="182" customFormat="1" x14ac:dyDescent="0.25">
      <c r="A111" s="178"/>
      <c r="B111" s="547"/>
      <c r="C111" s="548"/>
      <c r="D111" s="549"/>
      <c r="E111" s="549"/>
      <c r="F111" s="549"/>
      <c r="G111" s="178"/>
      <c r="H111" s="687"/>
      <c r="I111" s="178"/>
      <c r="J111" s="185"/>
      <c r="K111" s="185"/>
      <c r="L111" s="263"/>
      <c r="N111" s="178"/>
    </row>
    <row r="112" spans="1:14" s="182" customFormat="1" x14ac:dyDescent="0.25">
      <c r="A112" s="178"/>
      <c r="B112" s="547"/>
      <c r="C112" s="548"/>
      <c r="D112" s="549"/>
      <c r="E112" s="549"/>
      <c r="F112" s="549"/>
      <c r="G112" s="178"/>
      <c r="H112" s="687"/>
      <c r="I112" s="178"/>
      <c r="J112" s="185"/>
      <c r="K112" s="185"/>
      <c r="L112" s="263"/>
      <c r="N112" s="178"/>
    </row>
    <row r="113" spans="1:14" s="182" customFormat="1" x14ac:dyDescent="0.25">
      <c r="A113" s="178"/>
      <c r="B113" s="547"/>
      <c r="C113" s="548"/>
      <c r="D113" s="549"/>
      <c r="E113" s="549"/>
      <c r="F113" s="549"/>
      <c r="G113" s="178"/>
      <c r="H113" s="687"/>
      <c r="I113" s="178"/>
      <c r="J113" s="185"/>
      <c r="K113" s="185"/>
      <c r="L113" s="263"/>
      <c r="N113" s="178"/>
    </row>
    <row r="114" spans="1:14" s="182" customFormat="1" x14ac:dyDescent="0.25">
      <c r="A114" s="178"/>
      <c r="B114" s="547"/>
      <c r="C114" s="548"/>
      <c r="D114" s="549"/>
      <c r="E114" s="549"/>
      <c r="F114" s="549"/>
      <c r="G114" s="178"/>
      <c r="H114" s="687"/>
      <c r="I114" s="178"/>
      <c r="J114" s="185"/>
      <c r="K114" s="185"/>
      <c r="L114" s="263"/>
      <c r="N114" s="178"/>
    </row>
    <row r="115" spans="1:14" s="182" customFormat="1" x14ac:dyDescent="0.25">
      <c r="A115" s="178"/>
      <c r="B115" s="547"/>
      <c r="C115" s="548"/>
      <c r="D115" s="549"/>
      <c r="E115" s="549"/>
      <c r="F115" s="549"/>
      <c r="G115" s="178"/>
      <c r="H115" s="687"/>
      <c r="I115" s="178"/>
      <c r="J115" s="185"/>
      <c r="K115" s="185"/>
      <c r="L115" s="263"/>
      <c r="N115" s="178"/>
    </row>
    <row r="116" spans="1:14" s="182" customFormat="1" x14ac:dyDescent="0.25">
      <c r="A116" s="178"/>
      <c r="B116" s="547"/>
      <c r="C116" s="548"/>
      <c r="D116" s="549"/>
      <c r="E116" s="549"/>
      <c r="F116" s="549"/>
      <c r="G116" s="178"/>
      <c r="H116" s="687"/>
      <c r="I116" s="178"/>
      <c r="J116" s="185"/>
      <c r="K116" s="185"/>
      <c r="L116" s="263"/>
      <c r="N116" s="178"/>
    </row>
    <row r="117" spans="1:14" s="182" customFormat="1" x14ac:dyDescent="0.25">
      <c r="A117" s="178"/>
      <c r="B117" s="547"/>
      <c r="C117" s="548"/>
      <c r="D117" s="549"/>
      <c r="E117" s="549"/>
      <c r="F117" s="549"/>
      <c r="G117" s="178"/>
      <c r="H117" s="687"/>
      <c r="I117" s="178"/>
      <c r="J117" s="185"/>
      <c r="K117" s="185"/>
      <c r="L117" s="263"/>
      <c r="N117" s="178"/>
    </row>
    <row r="118" spans="1:14" s="182" customFormat="1" x14ac:dyDescent="0.25">
      <c r="A118" s="178"/>
      <c r="B118" s="547"/>
      <c r="C118" s="548"/>
      <c r="D118" s="549"/>
      <c r="E118" s="549"/>
      <c r="F118" s="549"/>
      <c r="G118" s="178"/>
      <c r="H118" s="687"/>
      <c r="I118" s="178"/>
      <c r="J118" s="185"/>
      <c r="K118" s="185"/>
      <c r="L118" s="263"/>
      <c r="N118" s="178"/>
    </row>
    <row r="119" spans="1:14" s="182" customFormat="1" x14ac:dyDescent="0.25">
      <c r="A119" s="178"/>
      <c r="B119" s="547"/>
      <c r="C119" s="548"/>
      <c r="D119" s="549"/>
      <c r="E119" s="549"/>
      <c r="F119" s="549"/>
      <c r="G119" s="178"/>
      <c r="H119" s="687"/>
      <c r="I119" s="178"/>
      <c r="J119" s="185"/>
      <c r="K119" s="185"/>
      <c r="L119" s="263"/>
      <c r="N119" s="178"/>
    </row>
    <row r="120" spans="1:14" s="182" customFormat="1" x14ac:dyDescent="0.25">
      <c r="A120" s="178"/>
      <c r="B120" s="547"/>
      <c r="C120" s="548"/>
      <c r="D120" s="549"/>
      <c r="E120" s="549"/>
      <c r="F120" s="549"/>
      <c r="G120" s="178"/>
      <c r="H120" s="687"/>
      <c r="I120" s="178"/>
      <c r="J120" s="185"/>
      <c r="K120" s="185"/>
      <c r="L120" s="263"/>
      <c r="N120" s="178"/>
    </row>
    <row r="121" spans="1:14" s="182" customFormat="1" x14ac:dyDescent="0.25">
      <c r="A121" s="178"/>
      <c r="B121" s="547"/>
      <c r="C121" s="548"/>
      <c r="D121" s="549"/>
      <c r="E121" s="549"/>
      <c r="F121" s="549"/>
      <c r="G121" s="178"/>
      <c r="H121" s="687"/>
      <c r="I121" s="178"/>
      <c r="J121" s="185"/>
      <c r="K121" s="185"/>
      <c r="L121" s="263"/>
      <c r="N121" s="178"/>
    </row>
    <row r="122" spans="1:14" s="182" customFormat="1" x14ac:dyDescent="0.25">
      <c r="A122" s="178"/>
      <c r="B122" s="547"/>
      <c r="C122" s="548"/>
      <c r="D122" s="549"/>
      <c r="E122" s="549"/>
      <c r="F122" s="549"/>
      <c r="G122" s="178"/>
      <c r="H122" s="687"/>
      <c r="I122" s="178"/>
      <c r="J122" s="185"/>
      <c r="K122" s="185"/>
      <c r="L122" s="263"/>
      <c r="N122" s="178"/>
    </row>
    <row r="123" spans="1:14" s="182" customFormat="1" x14ac:dyDescent="0.25">
      <c r="A123" s="178"/>
      <c r="B123" s="547"/>
      <c r="C123" s="548"/>
      <c r="D123" s="549"/>
      <c r="E123" s="549"/>
      <c r="F123" s="549"/>
      <c r="G123" s="178"/>
      <c r="H123" s="687"/>
      <c r="I123" s="178"/>
      <c r="J123" s="185"/>
      <c r="K123" s="185"/>
      <c r="L123" s="263"/>
      <c r="N123" s="178"/>
    </row>
    <row r="124" spans="1:14" s="182" customFormat="1" x14ac:dyDescent="0.25">
      <c r="A124" s="178"/>
      <c r="B124" s="547"/>
      <c r="C124" s="548"/>
      <c r="D124" s="549"/>
      <c r="E124" s="549"/>
      <c r="F124" s="549"/>
      <c r="G124" s="178"/>
      <c r="H124" s="687"/>
      <c r="I124" s="178"/>
      <c r="J124" s="185"/>
      <c r="K124" s="185"/>
      <c r="L124" s="263"/>
      <c r="N124" s="178"/>
    </row>
    <row r="125" spans="1:14" s="182" customFormat="1" x14ac:dyDescent="0.25">
      <c r="A125" s="178"/>
      <c r="B125" s="547"/>
      <c r="C125" s="548"/>
      <c r="D125" s="549"/>
      <c r="E125" s="549"/>
      <c r="F125" s="549"/>
      <c r="G125" s="178"/>
      <c r="H125" s="687"/>
      <c r="I125" s="178"/>
      <c r="J125" s="185"/>
      <c r="K125" s="185"/>
      <c r="L125" s="263"/>
      <c r="N125" s="178"/>
    </row>
    <row r="126" spans="1:14" s="182" customFormat="1" x14ac:dyDescent="0.25">
      <c r="A126" s="178"/>
      <c r="B126" s="547"/>
      <c r="C126" s="548"/>
      <c r="D126" s="549"/>
      <c r="E126" s="549"/>
      <c r="F126" s="549"/>
      <c r="G126" s="178"/>
      <c r="H126" s="687"/>
      <c r="I126" s="178"/>
      <c r="J126" s="185"/>
      <c r="K126" s="185"/>
      <c r="L126" s="263"/>
      <c r="N126" s="178"/>
    </row>
    <row r="127" spans="1:14" s="182" customFormat="1" x14ac:dyDescent="0.25">
      <c r="A127" s="178"/>
      <c r="B127" s="547"/>
      <c r="C127" s="548"/>
      <c r="D127" s="549"/>
      <c r="E127" s="549"/>
      <c r="F127" s="549"/>
      <c r="G127" s="178"/>
      <c r="H127" s="687"/>
      <c r="I127" s="178"/>
      <c r="J127" s="185"/>
      <c r="K127" s="185"/>
      <c r="L127" s="263"/>
      <c r="N127" s="178"/>
    </row>
    <row r="128" spans="1:14" s="182" customFormat="1" x14ac:dyDescent="0.25">
      <c r="A128" s="178"/>
      <c r="B128" s="547"/>
      <c r="C128" s="548"/>
      <c r="D128" s="549"/>
      <c r="E128" s="549"/>
      <c r="F128" s="549"/>
      <c r="G128" s="178"/>
      <c r="H128" s="687"/>
      <c r="I128" s="178"/>
      <c r="J128" s="185"/>
      <c r="K128" s="185"/>
      <c r="L128" s="263"/>
      <c r="N128" s="178"/>
    </row>
    <row r="129" spans="1:14" s="182" customFormat="1" x14ac:dyDescent="0.25">
      <c r="A129" s="178"/>
      <c r="B129" s="547"/>
      <c r="C129" s="548"/>
      <c r="D129" s="549"/>
      <c r="E129" s="549"/>
      <c r="F129" s="549"/>
      <c r="G129" s="178"/>
      <c r="H129" s="687"/>
      <c r="I129" s="178"/>
      <c r="J129" s="185"/>
      <c r="K129" s="185"/>
      <c r="L129" s="263"/>
      <c r="N129" s="178"/>
    </row>
    <row r="130" spans="1:14" s="182" customFormat="1" x14ac:dyDescent="0.25">
      <c r="A130" s="178"/>
      <c r="B130" s="547"/>
      <c r="C130" s="548"/>
      <c r="D130" s="549"/>
      <c r="E130" s="549"/>
      <c r="F130" s="549"/>
      <c r="G130" s="178"/>
      <c r="H130" s="687"/>
      <c r="I130" s="178"/>
      <c r="J130" s="185"/>
      <c r="K130" s="185"/>
      <c r="L130" s="263"/>
      <c r="N130" s="178"/>
    </row>
    <row r="131" spans="1:14" s="182" customFormat="1" x14ac:dyDescent="0.25">
      <c r="A131" s="178"/>
      <c r="B131" s="547"/>
      <c r="C131" s="548"/>
      <c r="D131" s="549"/>
      <c r="E131" s="549"/>
      <c r="F131" s="549"/>
      <c r="G131" s="178"/>
      <c r="H131" s="687"/>
      <c r="I131" s="178"/>
      <c r="J131" s="185"/>
      <c r="K131" s="185"/>
      <c r="L131" s="263"/>
      <c r="N131" s="178"/>
    </row>
    <row r="132" spans="1:14" s="182" customFormat="1" x14ac:dyDescent="0.25">
      <c r="A132" s="178"/>
      <c r="B132" s="547"/>
      <c r="C132" s="548"/>
      <c r="D132" s="549"/>
      <c r="E132" s="549"/>
      <c r="F132" s="549"/>
      <c r="G132" s="178"/>
      <c r="H132" s="687"/>
      <c r="I132" s="178"/>
      <c r="J132" s="185"/>
      <c r="K132" s="185"/>
      <c r="L132" s="263"/>
      <c r="N132" s="178"/>
    </row>
    <row r="133" spans="1:14" s="182" customFormat="1" x14ac:dyDescent="0.25">
      <c r="A133" s="178"/>
      <c r="B133" s="547"/>
      <c r="C133" s="548"/>
      <c r="D133" s="549"/>
      <c r="E133" s="549"/>
      <c r="F133" s="549"/>
      <c r="G133" s="178"/>
      <c r="H133" s="687"/>
      <c r="I133" s="178"/>
      <c r="J133" s="185"/>
      <c r="K133" s="185"/>
      <c r="L133" s="263"/>
      <c r="N133" s="178"/>
    </row>
    <row r="134" spans="1:14" s="182" customFormat="1" x14ac:dyDescent="0.25">
      <c r="A134" s="178"/>
      <c r="B134" s="547"/>
      <c r="C134" s="548"/>
      <c r="D134" s="549"/>
      <c r="E134" s="549"/>
      <c r="F134" s="549"/>
      <c r="G134" s="178"/>
      <c r="H134" s="687"/>
      <c r="I134" s="178"/>
      <c r="J134" s="185"/>
      <c r="K134" s="185"/>
      <c r="L134" s="263"/>
      <c r="N134" s="178"/>
    </row>
    <row r="135" spans="1:14" s="182" customFormat="1" x14ac:dyDescent="0.25">
      <c r="A135" s="178"/>
      <c r="B135" s="547"/>
      <c r="C135" s="548"/>
      <c r="D135" s="549"/>
      <c r="E135" s="549"/>
      <c r="F135" s="549"/>
      <c r="G135" s="178"/>
      <c r="H135" s="687"/>
      <c r="I135" s="178"/>
      <c r="J135" s="185"/>
      <c r="K135" s="185"/>
      <c r="L135" s="263"/>
      <c r="N135" s="178"/>
    </row>
    <row r="136" spans="1:14" s="182" customFormat="1" x14ac:dyDescent="0.25">
      <c r="A136" s="178"/>
      <c r="B136" s="547"/>
      <c r="C136" s="548"/>
      <c r="D136" s="549"/>
      <c r="E136" s="549"/>
      <c r="F136" s="549"/>
      <c r="G136" s="178"/>
      <c r="H136" s="687"/>
      <c r="I136" s="178"/>
      <c r="J136" s="185"/>
      <c r="K136" s="185"/>
      <c r="L136" s="263"/>
      <c r="N136" s="178"/>
    </row>
    <row r="137" spans="1:14" s="182" customFormat="1" x14ac:dyDescent="0.25">
      <c r="A137" s="178"/>
      <c r="B137" s="547"/>
      <c r="C137" s="548"/>
      <c r="D137" s="549"/>
      <c r="E137" s="549"/>
      <c r="F137" s="549"/>
      <c r="G137" s="178"/>
      <c r="H137" s="687"/>
      <c r="I137" s="178"/>
      <c r="J137" s="185"/>
      <c r="K137" s="185"/>
      <c r="L137" s="263"/>
      <c r="N137" s="178"/>
    </row>
    <row r="138" spans="1:14" s="182" customFormat="1" x14ac:dyDescent="0.25">
      <c r="A138" s="178"/>
      <c r="B138" s="547"/>
      <c r="C138" s="548"/>
      <c r="D138" s="549"/>
      <c r="E138" s="549"/>
      <c r="F138" s="549"/>
      <c r="G138" s="178"/>
      <c r="H138" s="687"/>
      <c r="I138" s="178"/>
      <c r="J138" s="185"/>
      <c r="K138" s="185"/>
      <c r="L138" s="263"/>
      <c r="N138" s="178"/>
    </row>
    <row r="139" spans="1:14" s="182" customFormat="1" x14ac:dyDescent="0.25">
      <c r="A139" s="178"/>
      <c r="B139" s="547"/>
      <c r="C139" s="548"/>
      <c r="D139" s="549"/>
      <c r="E139" s="549"/>
      <c r="F139" s="549"/>
      <c r="G139" s="178"/>
      <c r="H139" s="687"/>
      <c r="I139" s="178"/>
      <c r="J139" s="185"/>
      <c r="K139" s="185"/>
      <c r="L139" s="263"/>
      <c r="N139" s="178"/>
    </row>
    <row r="140" spans="1:14" s="182" customFormat="1" x14ac:dyDescent="0.25">
      <c r="A140" s="178"/>
      <c r="B140" s="547"/>
      <c r="C140" s="548"/>
      <c r="D140" s="549"/>
      <c r="E140" s="549"/>
      <c r="F140" s="549"/>
      <c r="G140" s="178"/>
      <c r="H140" s="687"/>
      <c r="I140" s="178"/>
      <c r="J140" s="185"/>
      <c r="K140" s="185"/>
      <c r="L140" s="263"/>
      <c r="N140" s="178"/>
    </row>
    <row r="141" spans="1:14" s="182" customFormat="1" x14ac:dyDescent="0.25">
      <c r="A141" s="178"/>
      <c r="B141" s="547"/>
      <c r="C141" s="548"/>
      <c r="D141" s="549"/>
      <c r="E141" s="549"/>
      <c r="F141" s="549"/>
      <c r="G141" s="178"/>
      <c r="H141" s="687"/>
      <c r="I141" s="178"/>
      <c r="J141" s="185"/>
      <c r="K141" s="185"/>
      <c r="L141" s="263"/>
      <c r="N141" s="178"/>
    </row>
    <row r="142" spans="1:14" s="182" customFormat="1" x14ac:dyDescent="0.25">
      <c r="A142" s="178"/>
      <c r="B142" s="547"/>
      <c r="C142" s="548"/>
      <c r="D142" s="549"/>
      <c r="E142" s="549"/>
      <c r="F142" s="549"/>
      <c r="G142" s="178"/>
      <c r="H142" s="687"/>
      <c r="I142" s="178"/>
      <c r="J142" s="185"/>
      <c r="K142" s="185"/>
      <c r="L142" s="263"/>
      <c r="N142" s="178"/>
    </row>
    <row r="143" spans="1:14" s="182" customFormat="1" x14ac:dyDescent="0.25">
      <c r="A143" s="178"/>
      <c r="B143" s="547"/>
      <c r="C143" s="548"/>
      <c r="D143" s="549"/>
      <c r="E143" s="549"/>
      <c r="F143" s="549"/>
      <c r="G143" s="178"/>
      <c r="H143" s="687"/>
      <c r="I143" s="178"/>
      <c r="J143" s="185"/>
      <c r="K143" s="185"/>
      <c r="L143" s="263"/>
      <c r="N143" s="178"/>
    </row>
    <row r="144" spans="1:14" s="182" customFormat="1" x14ac:dyDescent="0.25">
      <c r="A144" s="178"/>
      <c r="B144" s="547"/>
      <c r="C144" s="548"/>
      <c r="D144" s="549"/>
      <c r="E144" s="549"/>
      <c r="F144" s="549"/>
      <c r="G144" s="178"/>
      <c r="H144" s="687"/>
      <c r="I144" s="178"/>
      <c r="J144" s="185"/>
      <c r="K144" s="185"/>
      <c r="L144" s="263"/>
      <c r="N144" s="178"/>
    </row>
    <row r="145" spans="1:14" s="182" customFormat="1" x14ac:dyDescent="0.25">
      <c r="A145" s="178"/>
      <c r="B145" s="547"/>
      <c r="C145" s="548"/>
      <c r="D145" s="549"/>
      <c r="E145" s="549"/>
      <c r="F145" s="549"/>
      <c r="G145" s="178"/>
      <c r="H145" s="687"/>
      <c r="I145" s="178"/>
      <c r="J145" s="185"/>
      <c r="K145" s="185"/>
      <c r="L145" s="263"/>
      <c r="N145" s="178"/>
    </row>
    <row r="146" spans="1:14" s="182" customFormat="1" x14ac:dyDescent="0.25">
      <c r="A146" s="178"/>
      <c r="B146" s="547"/>
      <c r="C146" s="548"/>
      <c r="D146" s="549"/>
      <c r="E146" s="549"/>
      <c r="F146" s="549"/>
      <c r="G146" s="178"/>
      <c r="H146" s="687"/>
      <c r="I146" s="178"/>
      <c r="J146" s="185"/>
      <c r="K146" s="185"/>
      <c r="L146" s="263"/>
      <c r="N146" s="178"/>
    </row>
    <row r="147" spans="1:14" s="182" customFormat="1" x14ac:dyDescent="0.25">
      <c r="A147" s="178"/>
      <c r="B147" s="547"/>
      <c r="C147" s="548"/>
      <c r="D147" s="549"/>
      <c r="E147" s="549"/>
      <c r="F147" s="549"/>
      <c r="G147" s="178"/>
      <c r="H147" s="687"/>
      <c r="I147" s="178"/>
      <c r="J147" s="185"/>
      <c r="K147" s="185"/>
      <c r="L147" s="263"/>
      <c r="N147" s="178"/>
    </row>
    <row r="148" spans="1:14" s="182" customFormat="1" x14ac:dyDescent="0.25">
      <c r="A148" s="178"/>
      <c r="B148" s="547"/>
      <c r="C148" s="548"/>
      <c r="D148" s="549"/>
      <c r="E148" s="549"/>
      <c r="F148" s="549"/>
      <c r="G148" s="178"/>
      <c r="H148" s="687"/>
      <c r="I148" s="178"/>
      <c r="J148" s="185"/>
      <c r="K148" s="185"/>
      <c r="L148" s="263"/>
      <c r="N148" s="178"/>
    </row>
    <row r="149" spans="1:14" s="182" customFormat="1" x14ac:dyDescent="0.25">
      <c r="A149" s="178"/>
      <c r="B149" s="547"/>
      <c r="C149" s="548"/>
      <c r="D149" s="549"/>
      <c r="E149" s="549"/>
      <c r="F149" s="549"/>
      <c r="G149" s="178"/>
      <c r="H149" s="687"/>
      <c r="I149" s="178"/>
      <c r="J149" s="185"/>
      <c r="K149" s="185"/>
      <c r="L149" s="263"/>
      <c r="N149" s="178"/>
    </row>
    <row r="150" spans="1:14" s="182" customFormat="1" x14ac:dyDescent="0.25">
      <c r="A150" s="178"/>
      <c r="B150" s="547"/>
      <c r="C150" s="548"/>
      <c r="D150" s="549"/>
      <c r="E150" s="549"/>
      <c r="F150" s="549"/>
      <c r="G150" s="178"/>
      <c r="H150" s="687"/>
      <c r="I150" s="178"/>
      <c r="J150" s="185"/>
      <c r="K150" s="185"/>
      <c r="L150" s="263"/>
      <c r="N150" s="178"/>
    </row>
    <row r="151" spans="1:14" s="182" customFormat="1" x14ac:dyDescent="0.25">
      <c r="A151" s="178"/>
      <c r="B151" s="547"/>
      <c r="C151" s="548"/>
      <c r="D151" s="549"/>
      <c r="E151" s="549"/>
      <c r="F151" s="549"/>
      <c r="G151" s="178"/>
      <c r="H151" s="687"/>
      <c r="I151" s="178"/>
      <c r="J151" s="185"/>
      <c r="K151" s="185"/>
      <c r="L151" s="263"/>
      <c r="N151" s="178"/>
    </row>
    <row r="152" spans="1:14" s="182" customFormat="1" x14ac:dyDescent="0.25">
      <c r="A152" s="178"/>
      <c r="B152" s="547"/>
      <c r="C152" s="548"/>
      <c r="D152" s="549"/>
      <c r="E152" s="549"/>
      <c r="F152" s="549"/>
      <c r="G152" s="178"/>
      <c r="H152" s="687"/>
      <c r="I152" s="178"/>
      <c r="J152" s="185"/>
      <c r="K152" s="185"/>
      <c r="L152" s="263"/>
      <c r="N152" s="178"/>
    </row>
    <row r="153" spans="1:14" s="182" customFormat="1" x14ac:dyDescent="0.25">
      <c r="A153" s="178"/>
      <c r="B153" s="547"/>
      <c r="C153" s="548"/>
      <c r="D153" s="549"/>
      <c r="E153" s="549"/>
      <c r="F153" s="549"/>
      <c r="G153" s="178"/>
      <c r="H153" s="687"/>
      <c r="I153" s="178"/>
      <c r="J153" s="185"/>
      <c r="K153" s="185"/>
      <c r="L153" s="263"/>
      <c r="N153" s="178"/>
    </row>
    <row r="154" spans="1:14" s="182" customFormat="1" x14ac:dyDescent="0.25">
      <c r="A154" s="178"/>
      <c r="B154" s="547"/>
      <c r="C154" s="548"/>
      <c r="D154" s="549"/>
      <c r="E154" s="549"/>
      <c r="F154" s="549"/>
      <c r="G154" s="178"/>
      <c r="H154" s="687"/>
      <c r="I154" s="178"/>
      <c r="J154" s="185"/>
      <c r="K154" s="185"/>
      <c r="L154" s="263"/>
      <c r="N154" s="178"/>
    </row>
    <row r="155" spans="1:14" s="182" customFormat="1" x14ac:dyDescent="0.25">
      <c r="A155" s="178"/>
      <c r="B155" s="547"/>
      <c r="C155" s="548"/>
      <c r="D155" s="549"/>
      <c r="E155" s="549"/>
      <c r="F155" s="549"/>
      <c r="G155" s="178"/>
      <c r="H155" s="687"/>
      <c r="I155" s="178"/>
      <c r="J155" s="185"/>
      <c r="K155" s="185"/>
      <c r="L155" s="263"/>
      <c r="N155" s="178"/>
    </row>
    <row r="156" spans="1:14" s="182" customFormat="1" x14ac:dyDescent="0.25">
      <c r="A156" s="178"/>
      <c r="B156" s="547"/>
      <c r="C156" s="548"/>
      <c r="D156" s="549"/>
      <c r="E156" s="549"/>
      <c r="F156" s="549"/>
      <c r="G156" s="178"/>
      <c r="H156" s="687"/>
      <c r="I156" s="178"/>
      <c r="J156" s="185"/>
      <c r="K156" s="185"/>
      <c r="L156" s="263"/>
      <c r="N156" s="178"/>
    </row>
    <row r="157" spans="1:14" s="182" customFormat="1" x14ac:dyDescent="0.25">
      <c r="A157" s="178"/>
      <c r="B157" s="547"/>
      <c r="C157" s="548"/>
      <c r="D157" s="549"/>
      <c r="E157" s="549"/>
      <c r="F157" s="549"/>
      <c r="G157" s="178"/>
      <c r="H157" s="687"/>
      <c r="I157" s="178"/>
      <c r="J157" s="185"/>
      <c r="K157" s="185"/>
      <c r="L157" s="263"/>
      <c r="N157" s="178"/>
    </row>
    <row r="158" spans="1:14" s="182" customFormat="1" x14ac:dyDescent="0.25">
      <c r="A158" s="178"/>
      <c r="B158" s="547"/>
      <c r="C158" s="548"/>
      <c r="D158" s="549"/>
      <c r="E158" s="549"/>
      <c r="F158" s="549"/>
      <c r="G158" s="178"/>
      <c r="H158" s="687"/>
      <c r="I158" s="178"/>
      <c r="J158" s="185"/>
      <c r="K158" s="185"/>
      <c r="L158" s="263"/>
      <c r="N158" s="178"/>
    </row>
    <row r="159" spans="1:14" s="182" customFormat="1" x14ac:dyDescent="0.25">
      <c r="A159" s="178"/>
      <c r="B159" s="547"/>
      <c r="C159" s="548"/>
      <c r="D159" s="549"/>
      <c r="E159" s="549"/>
      <c r="F159" s="549"/>
      <c r="G159" s="178"/>
      <c r="H159" s="687"/>
      <c r="I159" s="178"/>
      <c r="J159" s="185"/>
      <c r="K159" s="185"/>
      <c r="L159" s="263"/>
      <c r="N159" s="178"/>
    </row>
    <row r="160" spans="1:14" s="182" customFormat="1" x14ac:dyDescent="0.25">
      <c r="A160" s="178"/>
      <c r="B160" s="547"/>
      <c r="C160" s="548"/>
      <c r="D160" s="549"/>
      <c r="E160" s="549"/>
      <c r="F160" s="549"/>
      <c r="G160" s="178"/>
      <c r="H160" s="687"/>
      <c r="I160" s="178"/>
      <c r="J160" s="185"/>
      <c r="K160" s="185"/>
      <c r="L160" s="263"/>
      <c r="N160" s="178"/>
    </row>
    <row r="161" spans="1:14" s="182" customFormat="1" x14ac:dyDescent="0.25">
      <c r="A161" s="178"/>
      <c r="B161" s="547"/>
      <c r="C161" s="548"/>
      <c r="D161" s="549"/>
      <c r="E161" s="549"/>
      <c r="F161" s="549"/>
      <c r="G161" s="178"/>
      <c r="H161" s="687"/>
      <c r="I161" s="178"/>
      <c r="J161" s="185"/>
      <c r="K161" s="185"/>
      <c r="L161" s="263"/>
      <c r="N161" s="178"/>
    </row>
    <row r="162" spans="1:14" s="182" customFormat="1" x14ac:dyDescent="0.25">
      <c r="A162" s="178"/>
      <c r="B162" s="547"/>
      <c r="C162" s="548"/>
      <c r="D162" s="549"/>
      <c r="E162" s="549"/>
      <c r="F162" s="549"/>
      <c r="G162" s="178"/>
      <c r="H162" s="687"/>
      <c r="I162" s="178"/>
      <c r="J162" s="185"/>
      <c r="K162" s="185"/>
      <c r="L162" s="263"/>
      <c r="N162" s="178"/>
    </row>
    <row r="163" spans="1:14" s="182" customFormat="1" x14ac:dyDescent="0.25">
      <c r="A163" s="178"/>
      <c r="B163" s="547"/>
      <c r="C163" s="548"/>
      <c r="D163" s="549"/>
      <c r="E163" s="549"/>
      <c r="F163" s="549"/>
      <c r="G163" s="178"/>
      <c r="H163" s="687"/>
      <c r="I163" s="178"/>
      <c r="J163" s="185"/>
      <c r="K163" s="185"/>
      <c r="L163" s="263"/>
      <c r="N163" s="178"/>
    </row>
  </sheetData>
  <sheetProtection algorithmName="SHA-512" hashValue="VAw9AsA8dmZMYlW60BmXLcUVeyGtXliv0zd+pcvrogMQVKYHB8/GcIEGCoCGmrPjTRdz/D8Ol3Rx96OH8E3eQA==" saltValue="UMO5aQ/lmqf0kKrTNp72ew==" spinCount="100000" sheet="1" objects="1" scenarios="1"/>
  <mergeCells count="3">
    <mergeCell ref="F3:H3"/>
    <mergeCell ref="F6:H6"/>
    <mergeCell ref="B7:H7"/>
  </mergeCells>
  <pageMargins left="0.43307086614173229" right="0.31496062992125984" top="0.43307086614173229" bottom="0.62992125984251968" header="0.35433070866141736" footer="0.31496062992125984"/>
  <pageSetup paperSize="9" scale="89"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24D2F977-0205-495D-9B3E-02358FDD5BC3}">
            <xm:f>AND(Home!$C$8=FALSE,$D13&lt;&gt;"P C Sum",$D13&lt;&gt;"PC Sum",$D13&lt;&gt;"P Sum",$D13&lt;&gt;"Prov Sum")</xm:f>
            <x14:dxf>
              <font>
                <color theme="0"/>
              </font>
            </x14:dxf>
          </x14:cfRule>
          <xm:sqref>G13:H44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E9ABC-8DDA-472C-9962-4181BADFC33D}">
  <sheetPr codeName="Sheet24">
    <tabColor theme="3" tint="0.59999389629810485"/>
  </sheetPr>
  <dimension ref="B1:M15"/>
  <sheetViews>
    <sheetView showGridLines="0" view="pageBreakPreview" zoomScale="115" zoomScaleNormal="100" zoomScaleSheetLayoutView="115" zoomScalePageLayoutView="150" workbookViewId="0">
      <selection activeCell="H14" sqref="H13:H14"/>
    </sheetView>
  </sheetViews>
  <sheetFormatPr defaultColWidth="8.81640625" defaultRowHeight="12.5" x14ac:dyDescent="0.25"/>
  <cols>
    <col min="1" max="1" width="2" style="696" customWidth="1"/>
    <col min="2" max="2" width="8.453125" style="572" customWidth="1"/>
    <col min="3" max="3" width="55.81640625" style="717" customWidth="1"/>
    <col min="4" max="4" width="14.453125" style="717" customWidth="1"/>
    <col min="5" max="5" width="27.81640625" style="630" customWidth="1"/>
    <col min="6" max="6" width="1.453125" style="696" customWidth="1"/>
    <col min="7" max="7" width="4.1796875" style="696" customWidth="1"/>
    <col min="8" max="8" width="9.6328125" style="696" customWidth="1"/>
    <col min="9" max="9" width="11.1796875" style="697" customWidth="1"/>
    <col min="10" max="10" width="11.54296875" style="696" bestFit="1" customWidth="1"/>
    <col min="11" max="11" width="8.81640625" style="696"/>
    <col min="12" max="12" width="15.453125" style="696" customWidth="1"/>
    <col min="13" max="13" width="12.54296875" style="696" customWidth="1"/>
    <col min="14" max="14" width="9.1796875" style="696" customWidth="1"/>
    <col min="15" max="16384" width="8.81640625" style="696"/>
  </cols>
  <sheetData>
    <row r="1" spans="2:13" s="691" customFormat="1" ht="18" customHeight="1" x14ac:dyDescent="0.25">
      <c r="B1" s="688" t="str">
        <f>_Client1</f>
        <v>Province of KwaZulu-Natal</v>
      </c>
      <c r="C1" s="689"/>
      <c r="D1" s="778" t="s">
        <v>656</v>
      </c>
      <c r="E1" s="778"/>
      <c r="F1" s="200"/>
      <c r="H1" s="573"/>
      <c r="I1" s="690"/>
      <c r="M1" s="573"/>
    </row>
    <row r="2" spans="2:13" s="691" customFormat="1" ht="16.5" customHeight="1" x14ac:dyDescent="0.25">
      <c r="B2" s="692" t="str">
        <f>_Client2</f>
        <v>Department of Transport</v>
      </c>
      <c r="C2" s="689"/>
      <c r="D2" s="689"/>
      <c r="E2" s="573"/>
      <c r="F2" s="573"/>
      <c r="G2" s="573"/>
      <c r="H2" s="573"/>
      <c r="I2" s="690"/>
      <c r="K2" s="693"/>
      <c r="L2" s="693"/>
      <c r="M2" s="573"/>
    </row>
    <row r="3" spans="2:13" s="691" customFormat="1" ht="13.5" customHeight="1" x14ac:dyDescent="0.25">
      <c r="B3" s="694"/>
      <c r="C3" s="689"/>
      <c r="D3" s="689"/>
      <c r="E3" s="573"/>
      <c r="F3" s="573"/>
      <c r="G3" s="573"/>
      <c r="H3" s="573"/>
      <c r="I3" s="690"/>
      <c r="K3" s="693"/>
      <c r="L3" s="693"/>
      <c r="M3" s="573"/>
    </row>
    <row r="4" spans="2:13" s="691" customFormat="1" ht="13.5" customHeight="1" x14ac:dyDescent="0.25">
      <c r="B4" s="694"/>
      <c r="C4" s="689"/>
      <c r="D4" s="689"/>
      <c r="E4" s="573"/>
      <c r="F4" s="573"/>
      <c r="G4" s="573"/>
      <c r="H4" s="573"/>
      <c r="I4" s="690"/>
      <c r="K4" s="693"/>
      <c r="L4" s="693"/>
      <c r="M4" s="573"/>
    </row>
    <row r="5" spans="2:13" ht="12.75" customHeight="1" x14ac:dyDescent="0.25">
      <c r="B5" s="779" t="str">
        <f>'[2]Sch F'!B6</f>
        <v>SCHEDULE G: CONTRACT PARTICIPATION GOALS</v>
      </c>
      <c r="C5" s="780"/>
      <c r="D5" s="780"/>
      <c r="E5" s="780"/>
    </row>
    <row r="6" spans="2:13" ht="12.75" customHeight="1" x14ac:dyDescent="0.25">
      <c r="B6" s="698"/>
      <c r="C6" s="699"/>
      <c r="D6" s="699"/>
      <c r="E6" s="699"/>
    </row>
    <row r="7" spans="2:13" ht="12.75" customHeight="1" x14ac:dyDescent="0.25">
      <c r="B7" s="781" t="s">
        <v>49</v>
      </c>
      <c r="C7" s="781"/>
      <c r="D7" s="781"/>
      <c r="E7" s="781"/>
    </row>
    <row r="8" spans="2:13" ht="12.75" customHeight="1" x14ac:dyDescent="0.25">
      <c r="B8" s="700"/>
      <c r="C8" s="700"/>
      <c r="D8" s="700"/>
      <c r="E8" s="700"/>
    </row>
    <row r="9" spans="2:13" ht="25.5" customHeight="1" x14ac:dyDescent="0.25">
      <c r="B9" s="792" t="s">
        <v>657</v>
      </c>
      <c r="C9" s="792"/>
      <c r="D9" s="792"/>
      <c r="E9" s="792"/>
    </row>
    <row r="10" spans="2:13" ht="5.25" customHeight="1" thickBot="1" x14ac:dyDescent="0.3">
      <c r="B10" s="782"/>
      <c r="C10" s="782"/>
      <c r="D10" s="782"/>
      <c r="E10" s="782"/>
    </row>
    <row r="11" spans="2:13" s="695" customFormat="1" ht="25" customHeight="1" thickBot="1" x14ac:dyDescent="0.3">
      <c r="B11" s="701" t="s">
        <v>20</v>
      </c>
      <c r="C11" s="702" t="s">
        <v>1</v>
      </c>
      <c r="D11" s="703" t="s">
        <v>92</v>
      </c>
      <c r="E11" s="647" t="s">
        <v>5</v>
      </c>
      <c r="I11" s="704"/>
    </row>
    <row r="12" spans="2:13" ht="21" customHeight="1" x14ac:dyDescent="0.25">
      <c r="B12" s="721" t="s">
        <v>630</v>
      </c>
      <c r="C12" s="706" t="s">
        <v>675</v>
      </c>
      <c r="D12" s="707"/>
      <c r="E12" s="708">
        <f>'Sch G'!H45</f>
        <v>0</v>
      </c>
      <c r="H12" s="695"/>
      <c r="I12" s="709"/>
    </row>
    <row r="13" spans="2:13" ht="9" customHeight="1" thickBot="1" x14ac:dyDescent="0.3">
      <c r="B13" s="710"/>
      <c r="C13" s="711"/>
      <c r="D13" s="712"/>
      <c r="E13" s="713"/>
      <c r="H13" s="695"/>
      <c r="I13" s="709"/>
    </row>
    <row r="14" spans="2:13" ht="23.5" customHeight="1" thickBot="1" x14ac:dyDescent="0.3">
      <c r="B14" s="714" t="str">
        <f>"TOTAL CARRIED FORWARD TO SUMMARY "</f>
        <v xml:space="preserve">TOTAL CARRIED FORWARD TO SUMMARY </v>
      </c>
      <c r="C14" s="715"/>
      <c r="D14" s="716"/>
      <c r="E14" s="142">
        <f>SUM(E12:E13)</f>
        <v>0</v>
      </c>
    </row>
    <row r="15" spans="2:13" x14ac:dyDescent="0.25">
      <c r="E15" s="669"/>
    </row>
  </sheetData>
  <sheetProtection algorithmName="SHA-512" hashValue="CTErSW0ADb4/6JxKyFeVT9W1vPUlsUCvMjDTn7hT4aqNSqT563/cN9GhOyXJzEXhN7dpkHpZQPLla74r2DIWXw==" saltValue="e8jjTlI9z1IOC6omz1IODg==" spinCount="100000" sheet="1" objects="1" scenarios="1"/>
  <mergeCells count="5">
    <mergeCell ref="B5:E5"/>
    <mergeCell ref="B7:E7"/>
    <mergeCell ref="B10:E10"/>
    <mergeCell ref="D1:E1"/>
    <mergeCell ref="B9:E9"/>
  </mergeCells>
  <pageMargins left="0.43307086614173229" right="0.31496062992125984" top="0.43307086614173229" bottom="0.62992125984251968" header="0.35433070866141736" footer="0.31496062992125984"/>
  <pageSetup paperSize="9" scale="89"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E414-C729-4850-8B42-9D6A2ED71B96}">
  <sheetPr codeName="Sheet25">
    <tabColor theme="3" tint="0.59999389629810485"/>
  </sheetPr>
  <dimension ref="B1:M29"/>
  <sheetViews>
    <sheetView showGridLines="0" view="pageBreakPreview" zoomScaleNormal="100" zoomScaleSheetLayoutView="100" zoomScalePageLayoutView="150" workbookViewId="0">
      <selection activeCell="H8" sqref="H8"/>
    </sheetView>
  </sheetViews>
  <sheetFormatPr defaultColWidth="8.81640625" defaultRowHeight="12.5" x14ac:dyDescent="0.25"/>
  <cols>
    <col min="1" max="1" width="2" style="696" customWidth="1"/>
    <col min="2" max="2" width="8.453125" style="572" customWidth="1"/>
    <col min="3" max="3" width="52.54296875" style="717" customWidth="1"/>
    <col min="4" max="4" width="13" style="717" customWidth="1"/>
    <col min="5" max="5" width="28.08984375" style="630" customWidth="1"/>
    <col min="6" max="6" width="1.453125" style="696" customWidth="1"/>
    <col min="7" max="7" width="3.81640625" style="696" customWidth="1"/>
    <col min="8" max="8" width="14.6328125" style="696" customWidth="1"/>
    <col min="9" max="9" width="19.1796875" style="697" customWidth="1"/>
    <col min="10" max="10" width="15.6328125" style="696" bestFit="1" customWidth="1"/>
    <col min="11" max="11" width="18" style="696" bestFit="1" customWidth="1"/>
    <col min="12" max="12" width="16.1796875" style="696" bestFit="1" customWidth="1"/>
    <col min="13" max="13" width="12.54296875" style="696" customWidth="1"/>
    <col min="14" max="14" width="9.1796875" style="696" customWidth="1"/>
    <col min="15" max="16" width="8.81640625" style="696"/>
    <col min="17" max="17" width="10" style="696" bestFit="1" customWidth="1"/>
    <col min="18" max="16384" width="8.81640625" style="696"/>
  </cols>
  <sheetData>
    <row r="1" spans="2:13" s="691" customFormat="1" ht="18" customHeight="1" x14ac:dyDescent="0.25">
      <c r="B1" s="688" t="str">
        <f>_Client1</f>
        <v>Province of KwaZulu-Natal</v>
      </c>
      <c r="C1" s="689"/>
      <c r="D1" s="778" t="s">
        <v>656</v>
      </c>
      <c r="E1" s="778"/>
      <c r="F1" s="200"/>
      <c r="H1" s="573"/>
      <c r="I1" s="690"/>
      <c r="M1" s="573"/>
    </row>
    <row r="2" spans="2:13" s="691" customFormat="1" ht="16.5" customHeight="1" x14ac:dyDescent="0.25">
      <c r="B2" s="692" t="str">
        <f>_Client2</f>
        <v>Department of Transport</v>
      </c>
      <c r="C2" s="689"/>
      <c r="D2" s="689"/>
      <c r="E2" s="573"/>
      <c r="F2" s="573"/>
      <c r="G2" s="573"/>
      <c r="H2" s="573"/>
      <c r="I2" s="690"/>
      <c r="K2" s="693"/>
      <c r="L2" s="693"/>
      <c r="M2" s="573"/>
    </row>
    <row r="3" spans="2:13" s="691" customFormat="1" ht="13.5" customHeight="1" x14ac:dyDescent="0.25">
      <c r="B3" s="692"/>
      <c r="C3" s="689"/>
      <c r="D3" s="689"/>
      <c r="E3" s="573"/>
      <c r="F3" s="573"/>
      <c r="G3" s="573"/>
      <c r="H3" s="573"/>
      <c r="I3" s="690"/>
      <c r="K3" s="693"/>
      <c r="L3" s="693"/>
      <c r="M3" s="573"/>
    </row>
    <row r="4" spans="2:13" ht="12.75" customHeight="1" x14ac:dyDescent="0.25">
      <c r="B4" s="792" t="s">
        <v>619</v>
      </c>
      <c r="C4" s="792"/>
      <c r="D4" s="792"/>
      <c r="E4" s="792"/>
    </row>
    <row r="5" spans="2:13" ht="25.5" customHeight="1" x14ac:dyDescent="0.25">
      <c r="B5" s="792" t="s">
        <v>657</v>
      </c>
      <c r="C5" s="792"/>
      <c r="D5" s="792"/>
      <c r="E5" s="792"/>
      <c r="I5" s="717"/>
    </row>
    <row r="6" spans="2:13" ht="5.25" customHeight="1" thickBot="1" x14ac:dyDescent="0.3">
      <c r="B6" s="782"/>
      <c r="C6" s="782"/>
      <c r="D6" s="782"/>
      <c r="E6" s="782"/>
    </row>
    <row r="7" spans="2:13" s="695" customFormat="1" ht="25" customHeight="1" thickBot="1" x14ac:dyDescent="0.3">
      <c r="B7" s="722"/>
      <c r="C7" s="723" t="s">
        <v>1</v>
      </c>
      <c r="D7" s="703" t="s">
        <v>92</v>
      </c>
      <c r="E7" s="647" t="s">
        <v>5</v>
      </c>
      <c r="I7" s="704"/>
    </row>
    <row r="8" spans="2:13" ht="21" customHeight="1" x14ac:dyDescent="0.25">
      <c r="B8" s="724" t="s">
        <v>620</v>
      </c>
      <c r="C8" s="725"/>
      <c r="D8" s="707"/>
      <c r="E8" s="726">
        <f>A!E30</f>
        <v>10417500</v>
      </c>
      <c r="H8" s="695"/>
      <c r="I8" s="709"/>
    </row>
    <row r="9" spans="2:13" ht="21" customHeight="1" x14ac:dyDescent="0.25">
      <c r="B9" s="724" t="s">
        <v>621</v>
      </c>
      <c r="C9" s="725"/>
      <c r="D9" s="707"/>
      <c r="E9" s="726">
        <f>D!E12</f>
        <v>0</v>
      </c>
      <c r="H9" s="695"/>
      <c r="I9" s="709"/>
    </row>
    <row r="10" spans="2:13" ht="21" customHeight="1" thickBot="1" x14ac:dyDescent="0.3">
      <c r="B10" s="724" t="s">
        <v>659</v>
      </c>
      <c r="C10" s="725"/>
      <c r="D10" s="707"/>
      <c r="E10" s="727">
        <f>F!E14</f>
        <v>31629428.206</v>
      </c>
      <c r="H10" s="695"/>
      <c r="I10" s="709"/>
    </row>
    <row r="11" spans="2:13" ht="21" customHeight="1" thickBot="1" x14ac:dyDescent="0.3">
      <c r="B11" s="714" t="s">
        <v>622</v>
      </c>
      <c r="C11" s="715"/>
      <c r="D11" s="716"/>
      <c r="E11" s="728">
        <f>ROUND(SUM(E8:E10),2)</f>
        <v>42046928.210000001</v>
      </c>
      <c r="H11" s="729"/>
      <c r="I11" s="730"/>
      <c r="J11" s="731"/>
    </row>
    <row r="12" spans="2:13" ht="22.25" customHeight="1" thickBot="1" x14ac:dyDescent="0.3">
      <c r="B12" s="796" t="s">
        <v>725</v>
      </c>
      <c r="C12" s="797"/>
      <c r="D12" s="798"/>
      <c r="E12" s="732">
        <f>G!E14</f>
        <v>0</v>
      </c>
    </row>
    <row r="13" spans="2:13" ht="24" customHeight="1" thickBot="1" x14ac:dyDescent="0.3">
      <c r="B13" s="714" t="s">
        <v>623</v>
      </c>
      <c r="C13" s="715"/>
      <c r="D13" s="716"/>
      <c r="E13" s="142">
        <f>E11+E12</f>
        <v>42046928.210000001</v>
      </c>
      <c r="H13" s="733"/>
      <c r="I13" s="734"/>
      <c r="L13" s="735"/>
    </row>
    <row r="14" spans="2:13" ht="24" customHeight="1" thickBot="1" x14ac:dyDescent="0.3">
      <c r="B14" s="736" t="str">
        <f>"CONTINGENCIES ("&amp;TEXT(I14,"0%")&amp;" of Subtotal 1)"</f>
        <v>CONTINGENCIES (0% of Subtotal 1)</v>
      </c>
      <c r="C14" s="258"/>
      <c r="D14" s="737"/>
      <c r="E14" s="732">
        <f>E13*0.1</f>
        <v>4204692.8210000005</v>
      </c>
      <c r="H14" s="738"/>
      <c r="I14" s="739"/>
      <c r="J14" s="740"/>
      <c r="K14" s="735"/>
    </row>
    <row r="15" spans="2:13" ht="21.75" customHeight="1" thickBot="1" x14ac:dyDescent="0.3">
      <c r="B15" s="714" t="s">
        <v>624</v>
      </c>
      <c r="C15" s="715"/>
      <c r="D15" s="716"/>
      <c r="E15" s="142">
        <f>E13+E14</f>
        <v>46251621.031000003</v>
      </c>
      <c r="H15" s="738"/>
      <c r="I15" s="739"/>
      <c r="J15" s="740"/>
      <c r="K15" s="735"/>
    </row>
    <row r="16" spans="2:13" ht="21.65" customHeight="1" thickBot="1" x14ac:dyDescent="0.3">
      <c r="B16" s="741" t="str">
        <f>"CONTRACT PRICE ADJUSTMENT ("&amp;TEXT(I18,"0%")&amp;" of Subtotal 2)"</f>
        <v>CONTRACT PRICE ADJUSTMENT (0% of Subtotal 2)</v>
      </c>
      <c r="C16" s="182"/>
      <c r="D16" s="742"/>
      <c r="E16" s="139">
        <f>E15*0.08</f>
        <v>3700129.6824800004</v>
      </c>
      <c r="H16" s="738"/>
      <c r="I16" s="739"/>
      <c r="J16" s="740"/>
      <c r="K16" s="735"/>
    </row>
    <row r="17" spans="2:11" ht="21" customHeight="1" thickBot="1" x14ac:dyDescent="0.3">
      <c r="B17" s="714" t="s">
        <v>631</v>
      </c>
      <c r="C17" s="715"/>
      <c r="D17" s="716"/>
      <c r="E17" s="140">
        <f>E15+E16</f>
        <v>49951750.713480003</v>
      </c>
      <c r="J17" s="740"/>
      <c r="K17" s="740"/>
    </row>
    <row r="18" spans="2:11" ht="21" customHeight="1" thickBot="1" x14ac:dyDescent="0.3">
      <c r="B18" s="741" t="s">
        <v>691</v>
      </c>
      <c r="C18" s="182"/>
      <c r="D18" s="742"/>
      <c r="E18" s="141">
        <f>E17*0.15</f>
        <v>7492762.6070220005</v>
      </c>
      <c r="H18" s="738"/>
      <c r="I18" s="739"/>
    </row>
    <row r="19" spans="2:11" ht="21" customHeight="1" thickBot="1" x14ac:dyDescent="0.3">
      <c r="B19" s="714" t="s">
        <v>625</v>
      </c>
      <c r="C19" s="715"/>
      <c r="D19" s="716"/>
      <c r="E19" s="142">
        <f>E17+E18</f>
        <v>57444513.320502006</v>
      </c>
      <c r="K19" s="735"/>
    </row>
    <row r="20" spans="2:11" ht="21" customHeight="1" x14ac:dyDescent="0.25">
      <c r="B20" s="743"/>
      <c r="C20" s="200"/>
      <c r="D20" s="200"/>
      <c r="E20" s="744"/>
      <c r="I20" s="745"/>
      <c r="J20" s="746"/>
      <c r="K20" s="747"/>
    </row>
    <row r="21" spans="2:11" ht="23.5" customHeight="1" x14ac:dyDescent="0.25">
      <c r="B21" s="794" t="s">
        <v>626</v>
      </c>
      <c r="C21" s="794"/>
      <c r="D21" s="794"/>
      <c r="E21" s="794"/>
      <c r="H21" s="384"/>
      <c r="I21" s="748"/>
      <c r="J21" s="735"/>
      <c r="K21" s="735"/>
    </row>
    <row r="22" spans="2:11" ht="23.5" customHeight="1" x14ac:dyDescent="0.25">
      <c r="B22" s="743"/>
      <c r="C22" s="200"/>
      <c r="D22" s="200"/>
      <c r="E22" s="744"/>
      <c r="I22" s="734"/>
      <c r="J22" s="749"/>
    </row>
    <row r="23" spans="2:11" ht="66" customHeight="1" x14ac:dyDescent="0.25">
      <c r="B23" s="795" t="s">
        <v>627</v>
      </c>
      <c r="C23" s="795"/>
      <c r="D23" s="795"/>
      <c r="E23" s="795"/>
      <c r="J23" s="735"/>
      <c r="K23" s="735"/>
    </row>
    <row r="24" spans="2:11" ht="45.65" customHeight="1" x14ac:dyDescent="0.25">
      <c r="B24" s="793" t="s">
        <v>628</v>
      </c>
      <c r="C24" s="793"/>
      <c r="D24" s="793"/>
      <c r="E24" s="793"/>
      <c r="I24" s="734"/>
      <c r="J24" s="735"/>
      <c r="K24" s="735"/>
    </row>
    <row r="25" spans="2:11" x14ac:dyDescent="0.25">
      <c r="I25" s="734"/>
      <c r="J25" s="735"/>
      <c r="K25" s="750"/>
    </row>
    <row r="26" spans="2:11" x14ac:dyDescent="0.25">
      <c r="I26" s="734"/>
    </row>
    <row r="27" spans="2:11" x14ac:dyDescent="0.25">
      <c r="I27" s="734"/>
    </row>
    <row r="29" spans="2:11" x14ac:dyDescent="0.25">
      <c r="I29" s="734"/>
    </row>
  </sheetData>
  <sheetProtection algorithmName="SHA-512" hashValue="v0cqL+HJKVJBgZx8GS6A8n92lHtd56ILeny62axY2yseUI7WFkfWp86BmwEr8Rop23mQfPnk5I+7OrQSxDyGkA==" saltValue="/ByKpkM//ulIU4CTPlvfcQ==" spinCount="100000" sheet="1" objects="1" scenarios="1"/>
  <mergeCells count="8">
    <mergeCell ref="D1:E1"/>
    <mergeCell ref="B24:E24"/>
    <mergeCell ref="B4:E4"/>
    <mergeCell ref="B5:E5"/>
    <mergeCell ref="B6:E6"/>
    <mergeCell ref="B21:E21"/>
    <mergeCell ref="B23:E23"/>
    <mergeCell ref="B12:D12"/>
  </mergeCells>
  <pageMargins left="0.43307086614173229" right="0.31496062992125984" top="0.43307086614173229" bottom="0.62992125984251968" header="0.35433070866141736" footer="0.31496062992125984"/>
  <pageSetup paperSize="9" scale="9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0">
    <tabColor rgb="FFFFFF00"/>
  </sheetPr>
  <dimension ref="A1:Q27"/>
  <sheetViews>
    <sheetView showGridLines="0" view="pageBreakPreview" zoomScale="130" zoomScaleNormal="89" zoomScaleSheetLayoutView="130" zoomScalePageLayoutView="89" workbookViewId="0">
      <pane xSplit="5" ySplit="2" topLeftCell="F3" activePane="bottomRight" state="frozen"/>
      <selection activeCell="F47" sqref="F47"/>
      <selection pane="topRight" activeCell="F47" sqref="F47"/>
      <selection pane="bottomLeft" activeCell="F47" sqref="F47"/>
      <selection pane="bottomRight" activeCell="F47" sqref="F47"/>
    </sheetView>
  </sheetViews>
  <sheetFormatPr defaultColWidth="8.81640625" defaultRowHeight="11.5" x14ac:dyDescent="0.25"/>
  <cols>
    <col min="1" max="1" width="1.1796875" style="53" customWidth="1"/>
    <col min="2" max="2" width="7.453125" style="376" customWidth="1"/>
    <col min="3" max="3" width="41.1796875" style="377" customWidth="1"/>
    <col min="4" max="4" width="9" style="25" customWidth="1"/>
    <col min="5" max="5" width="4.453125" style="378" customWidth="1"/>
    <col min="6" max="6" width="10.81640625" style="379" customWidth="1"/>
    <col min="7" max="7" width="15.6328125" style="379" customWidth="1"/>
    <col min="8" max="8" width="15.1796875" style="380" customWidth="1"/>
    <col min="9" max="9" width="1.1796875" style="56" customWidth="1"/>
    <col min="10" max="10" width="13.54296875" style="57" customWidth="1"/>
    <col min="11" max="12" width="14.1796875" style="57" customWidth="1"/>
    <col min="13" max="13" width="14.1796875" style="23" customWidth="1"/>
    <col min="14" max="14" width="11.453125" style="374" bestFit="1" customWidth="1"/>
    <col min="15" max="15" width="12.81640625" style="374" customWidth="1"/>
    <col min="16" max="16" width="11.453125" style="374" bestFit="1" customWidth="1"/>
    <col min="17" max="17" width="10.453125" style="374" bestFit="1" customWidth="1"/>
    <col min="18" max="16384" width="8.81640625" style="53"/>
  </cols>
  <sheetData>
    <row r="1" spans="1:17" x14ac:dyDescent="0.25">
      <c r="B1" s="54"/>
      <c r="C1" s="24" t="s">
        <v>61</v>
      </c>
      <c r="E1" s="25"/>
      <c r="F1" s="26" t="s">
        <v>93</v>
      </c>
      <c r="G1" s="24">
        <v>1</v>
      </c>
      <c r="H1" s="55">
        <f>MAX(H2:H56)</f>
        <v>0</v>
      </c>
      <c r="J1" s="67"/>
      <c r="O1" s="375"/>
      <c r="P1" s="67"/>
    </row>
    <row r="2" spans="1:17" x14ac:dyDescent="0.25">
      <c r="A2" s="23"/>
      <c r="B2" s="145"/>
      <c r="C2" s="61"/>
      <c r="D2" s="61"/>
      <c r="E2" s="61"/>
      <c r="F2" s="61"/>
      <c r="G2" s="61"/>
      <c r="H2" s="61"/>
      <c r="I2" s="26"/>
      <c r="J2" s="159"/>
      <c r="K2" s="159"/>
      <c r="L2" s="159"/>
      <c r="M2" s="159"/>
    </row>
    <row r="3" spans="1:17" s="23" customFormat="1" x14ac:dyDescent="0.25">
      <c r="B3" s="309" t="str">
        <f>_Client1</f>
        <v>Province of KwaZulu-Natal</v>
      </c>
      <c r="C3" s="24"/>
      <c r="D3" s="25"/>
      <c r="E3" s="25"/>
      <c r="F3" s="753" t="str">
        <f>"Contract No. "&amp;_ContractNo</f>
        <v>Contract No. ZNB02642/00000/00/HOD/INF/25/T</v>
      </c>
      <c r="G3" s="753"/>
      <c r="H3" s="753"/>
      <c r="I3" s="26"/>
      <c r="J3" s="57"/>
      <c r="K3" s="57"/>
      <c r="L3" s="57"/>
    </row>
    <row r="4" spans="1:17" s="23" customFormat="1" x14ac:dyDescent="0.25">
      <c r="B4" s="310" t="str">
        <f>_Client2</f>
        <v>Department of Transport</v>
      </c>
      <c r="C4" s="24"/>
      <c r="D4" s="25"/>
      <c r="E4" s="25"/>
      <c r="F4" s="25"/>
      <c r="H4" s="26"/>
      <c r="I4" s="26"/>
      <c r="J4" s="57"/>
      <c r="K4" s="57"/>
      <c r="L4" s="57"/>
    </row>
    <row r="6" spans="1:17" s="23" customFormat="1" x14ac:dyDescent="0.25">
      <c r="B6" s="381" t="s">
        <v>21</v>
      </c>
      <c r="C6" s="58"/>
      <c r="D6" s="59"/>
      <c r="E6" s="59"/>
      <c r="F6" s="751" t="str">
        <f>"SECTION "&amp;B11</f>
        <v>SECTION 1.3</v>
      </c>
      <c r="G6" s="751"/>
      <c r="H6" s="752"/>
      <c r="I6" s="380"/>
      <c r="J6" s="160"/>
      <c r="K6" s="160"/>
      <c r="L6" s="160"/>
      <c r="M6" s="35"/>
      <c r="N6" s="382"/>
      <c r="O6" s="382"/>
      <c r="P6" s="382"/>
      <c r="Q6" s="382"/>
    </row>
    <row r="7" spans="1:17" ht="24" customHeight="1" x14ac:dyDescent="0.25">
      <c r="B7" s="754" t="str">
        <f>_Description</f>
        <v>COMPLETION OF PARTLY CONSTRUCTED ROAD, PRISM, DRAINAGE, LAYERWORKS AND SURFACING ON DISTRICT ROAD 1841, KM 4.50 TO KM 10.24 IN THE EMPANGENI REGION.</v>
      </c>
      <c r="C7" s="755"/>
      <c r="D7" s="755"/>
      <c r="E7" s="755"/>
      <c r="F7" s="755"/>
      <c r="G7" s="755"/>
      <c r="H7" s="756"/>
      <c r="I7" s="383"/>
      <c r="J7" s="161"/>
      <c r="K7" s="161"/>
      <c r="L7" s="161"/>
      <c r="M7" s="162"/>
      <c r="O7" s="384"/>
    </row>
    <row r="8" spans="1:17" ht="8.15" customHeight="1" x14ac:dyDescent="0.25">
      <c r="B8" s="385"/>
      <c r="C8" s="386"/>
      <c r="D8" s="387"/>
      <c r="E8" s="386"/>
      <c r="F8" s="387"/>
      <c r="G8" s="388"/>
      <c r="H8" s="389"/>
      <c r="I8" s="383"/>
      <c r="J8" s="161"/>
      <c r="K8" s="161"/>
      <c r="L8" s="161"/>
      <c r="M8" s="162"/>
    </row>
    <row r="9" spans="1:17" s="390" customFormat="1" ht="20.149999999999999" customHeight="1" x14ac:dyDescent="0.25">
      <c r="B9" s="6" t="s">
        <v>0</v>
      </c>
      <c r="C9" s="5" t="s">
        <v>1</v>
      </c>
      <c r="D9" s="5" t="s">
        <v>2</v>
      </c>
      <c r="E9" s="5" t="s">
        <v>30</v>
      </c>
      <c r="F9" s="6" t="s">
        <v>3</v>
      </c>
      <c r="G9" s="6" t="s">
        <v>4</v>
      </c>
      <c r="H9" s="6" t="s">
        <v>5</v>
      </c>
      <c r="I9" s="391"/>
      <c r="J9" s="159"/>
      <c r="K9" s="159"/>
      <c r="L9" s="159"/>
      <c r="M9" s="10"/>
      <c r="N9" s="392"/>
      <c r="O9" s="392"/>
      <c r="P9" s="392"/>
      <c r="Q9" s="392"/>
    </row>
    <row r="10" spans="1:17" x14ac:dyDescent="0.25">
      <c r="B10" s="393"/>
      <c r="C10" s="352"/>
      <c r="D10" s="3"/>
      <c r="E10" s="1"/>
      <c r="F10" s="394"/>
      <c r="G10" s="395"/>
      <c r="H10" s="395" t="str">
        <f t="shared" ref="H10:H21" si="0">IF(D10="","",F10*G10)</f>
        <v/>
      </c>
      <c r="I10" s="396"/>
      <c r="J10" s="217"/>
      <c r="K10" s="218"/>
      <c r="L10" s="219"/>
      <c r="M10" s="220"/>
    </row>
    <row r="11" spans="1:17" ht="23" x14ac:dyDescent="0.25">
      <c r="B11" s="397" t="s">
        <v>245</v>
      </c>
      <c r="C11" s="398" t="s">
        <v>7</v>
      </c>
      <c r="D11" s="3"/>
      <c r="E11" s="1"/>
      <c r="F11" s="394"/>
      <c r="G11" s="395"/>
      <c r="H11" s="395" t="str">
        <f t="shared" si="0"/>
        <v/>
      </c>
      <c r="I11" s="396"/>
      <c r="J11" s="217"/>
      <c r="K11" s="218"/>
      <c r="L11" s="219"/>
      <c r="M11" s="399"/>
    </row>
    <row r="12" spans="1:17" x14ac:dyDescent="0.25">
      <c r="B12" s="393"/>
      <c r="C12" s="352"/>
      <c r="D12" s="3"/>
      <c r="E12" s="1"/>
      <c r="F12" s="394"/>
      <c r="G12" s="400"/>
      <c r="H12" s="395" t="str">
        <f t="shared" si="0"/>
        <v/>
      </c>
      <c r="I12" s="396"/>
      <c r="J12" s="217"/>
      <c r="K12" s="218"/>
      <c r="L12" s="219"/>
      <c r="M12" s="399"/>
    </row>
    <row r="13" spans="1:17" x14ac:dyDescent="0.25">
      <c r="B13" s="393" t="s">
        <v>246</v>
      </c>
      <c r="C13" s="352" t="s">
        <v>22</v>
      </c>
      <c r="D13" s="3"/>
      <c r="E13" s="1"/>
      <c r="F13" s="394"/>
      <c r="G13" s="395"/>
      <c r="H13" s="395" t="str">
        <f t="shared" si="0"/>
        <v/>
      </c>
      <c r="I13" s="396"/>
      <c r="J13" s="217"/>
      <c r="K13" s="218"/>
      <c r="L13" s="219"/>
      <c r="M13" s="220"/>
    </row>
    <row r="14" spans="1:17" x14ac:dyDescent="0.25">
      <c r="B14" s="393"/>
      <c r="C14" s="352"/>
      <c r="D14" s="3"/>
      <c r="E14" s="1"/>
      <c r="F14" s="394"/>
      <c r="G14" s="395"/>
      <c r="H14" s="395" t="str">
        <f t="shared" si="0"/>
        <v/>
      </c>
      <c r="I14" s="396"/>
      <c r="J14" s="217"/>
      <c r="K14" s="218"/>
      <c r="L14" s="219"/>
      <c r="M14" s="220"/>
    </row>
    <row r="15" spans="1:17" ht="12.75" customHeight="1" x14ac:dyDescent="0.25">
      <c r="B15" s="393" t="s">
        <v>247</v>
      </c>
      <c r="C15" s="352" t="s">
        <v>23</v>
      </c>
      <c r="D15" s="3" t="s">
        <v>472</v>
      </c>
      <c r="E15" s="1"/>
      <c r="F15" s="3">
        <v>1</v>
      </c>
      <c r="G15" s="171">
        <v>0</v>
      </c>
      <c r="H15" s="290">
        <f t="shared" si="0"/>
        <v>0</v>
      </c>
      <c r="I15" s="401"/>
      <c r="J15" s="218"/>
      <c r="K15" s="218"/>
      <c r="L15" s="219"/>
      <c r="M15" s="402"/>
    </row>
    <row r="16" spans="1:17" ht="12.75" customHeight="1" x14ac:dyDescent="0.25">
      <c r="B16" s="393"/>
      <c r="C16" s="352"/>
      <c r="D16" s="3"/>
      <c r="E16" s="1"/>
      <c r="F16" s="3"/>
      <c r="G16" s="403"/>
      <c r="H16" s="291" t="str">
        <f t="shared" si="0"/>
        <v/>
      </c>
      <c r="I16" s="401"/>
      <c r="J16" s="218"/>
      <c r="K16" s="218"/>
      <c r="L16" s="219"/>
      <c r="M16" s="220"/>
    </row>
    <row r="17" spans="2:17" ht="12.75" customHeight="1" x14ac:dyDescent="0.25">
      <c r="B17" s="393" t="s">
        <v>248</v>
      </c>
      <c r="C17" s="352" t="s">
        <v>195</v>
      </c>
      <c r="D17" s="3" t="s">
        <v>472</v>
      </c>
      <c r="E17" s="1"/>
      <c r="F17" s="3">
        <v>1</v>
      </c>
      <c r="G17" s="171">
        <v>0</v>
      </c>
      <c r="H17" s="290">
        <f t="shared" si="0"/>
        <v>0</v>
      </c>
      <c r="I17" s="401"/>
      <c r="J17" s="218"/>
      <c r="K17" s="218"/>
      <c r="L17" s="219"/>
      <c r="M17" s="402"/>
    </row>
    <row r="18" spans="2:17" ht="12" customHeight="1" x14ac:dyDescent="0.25">
      <c r="B18" s="393"/>
      <c r="C18" s="352"/>
      <c r="D18" s="3"/>
      <c r="E18" s="1"/>
      <c r="F18" s="394"/>
      <c r="G18" s="403"/>
      <c r="H18" s="291" t="str">
        <f t="shared" si="0"/>
        <v/>
      </c>
      <c r="I18" s="401"/>
      <c r="J18" s="217"/>
      <c r="K18" s="218"/>
      <c r="L18" s="219"/>
      <c r="M18" s="220"/>
    </row>
    <row r="19" spans="2:17" ht="18" customHeight="1" x14ac:dyDescent="0.25">
      <c r="B19" s="393" t="s">
        <v>249</v>
      </c>
      <c r="C19" s="2" t="s">
        <v>24</v>
      </c>
      <c r="D19" s="3" t="s">
        <v>8</v>
      </c>
      <c r="E19" s="1"/>
      <c r="F19" s="404">
        <v>12</v>
      </c>
      <c r="G19" s="171">
        <v>0</v>
      </c>
      <c r="H19" s="290">
        <f t="shared" si="0"/>
        <v>0</v>
      </c>
      <c r="I19" s="401"/>
      <c r="J19" s="217"/>
      <c r="K19" s="218"/>
      <c r="L19" s="219"/>
      <c r="M19" s="405"/>
    </row>
    <row r="20" spans="2:17" ht="12" customHeight="1" x14ac:dyDescent="0.25">
      <c r="B20" s="393"/>
      <c r="C20" s="356"/>
      <c r="D20" s="3"/>
      <c r="E20" s="1"/>
      <c r="F20" s="394"/>
      <c r="G20" s="403"/>
      <c r="H20" s="291" t="str">
        <f t="shared" si="0"/>
        <v/>
      </c>
      <c r="I20" s="401"/>
      <c r="J20" s="217"/>
      <c r="K20" s="218"/>
      <c r="L20" s="219"/>
      <c r="M20" s="405"/>
    </row>
    <row r="21" spans="2:17" ht="12" customHeight="1" x14ac:dyDescent="0.25">
      <c r="B21" s="393" t="s">
        <v>250</v>
      </c>
      <c r="C21" s="406" t="s">
        <v>251</v>
      </c>
      <c r="D21" s="407" t="s">
        <v>252</v>
      </c>
      <c r="E21" s="408"/>
      <c r="F21" s="409">
        <v>12</v>
      </c>
      <c r="G21" s="171">
        <v>0</v>
      </c>
      <c r="H21" s="345">
        <f t="shared" si="0"/>
        <v>0</v>
      </c>
      <c r="I21" s="410"/>
      <c r="J21" s="360"/>
      <c r="K21" s="218"/>
      <c r="L21" s="219"/>
      <c r="M21" s="220"/>
    </row>
    <row r="22" spans="2:17" ht="12" customHeight="1" x14ac:dyDescent="0.25">
      <c r="B22" s="393"/>
      <c r="C22" s="406"/>
      <c r="D22" s="407"/>
      <c r="E22" s="408"/>
      <c r="F22" s="411"/>
      <c r="G22" s="403"/>
      <c r="H22" s="412"/>
      <c r="I22" s="410"/>
      <c r="J22" s="360"/>
      <c r="K22" s="218"/>
      <c r="L22" s="219"/>
      <c r="M22" s="220"/>
    </row>
    <row r="23" spans="2:17" s="416" customFormat="1" ht="21.75" customHeight="1" x14ac:dyDescent="0.25">
      <c r="B23" s="29" t="s">
        <v>632</v>
      </c>
      <c r="C23" s="28" t="str">
        <f>"TOTAL CARRIED FORWARD"&amp;IF(H23=H$1," TO SUMMARY ")</f>
        <v xml:space="preserve">TOTAL CARRIED FORWARD TO SUMMARY </v>
      </c>
      <c r="D23" s="21"/>
      <c r="E23" s="21"/>
      <c r="F23" s="22"/>
      <c r="G23" s="22"/>
      <c r="H23" s="413">
        <f>SUM(H10:H22)</f>
        <v>0</v>
      </c>
      <c r="I23" s="414"/>
      <c r="J23" s="254"/>
      <c r="K23" s="254"/>
      <c r="L23" s="255"/>
      <c r="M23" s="256"/>
      <c r="N23" s="415"/>
      <c r="O23" s="415"/>
      <c r="P23" s="415"/>
      <c r="Q23" s="415"/>
    </row>
    <row r="24" spans="2:17" ht="6" customHeight="1" x14ac:dyDescent="0.25">
      <c r="L24" s="71"/>
    </row>
    <row r="25" spans="2:17" ht="12" customHeight="1" x14ac:dyDescent="0.25">
      <c r="L25" s="71"/>
    </row>
    <row r="26" spans="2:17" ht="12" customHeight="1" x14ac:dyDescent="0.25">
      <c r="L26" s="71"/>
    </row>
    <row r="27" spans="2:17" ht="12" customHeight="1" x14ac:dyDescent="0.25">
      <c r="L27" s="71"/>
    </row>
  </sheetData>
  <sheetProtection algorithmName="SHA-512" hashValue="wQC0ha1KnLYKj4BEw3y+iwSTOiU2wBbmCRNH928i+PJ+BM1MhdoygwYJlWVNpKKG8p1GtplQneIehZba0i6DYg==" saltValue="WB4muj6za8y4oBe8qgHrHA==" spinCount="100000" sheet="1" objects="1" scenarios="1"/>
  <mergeCells count="3">
    <mergeCell ref="F6:H6"/>
    <mergeCell ref="F3:H3"/>
    <mergeCell ref="B7:H7"/>
  </mergeCells>
  <phoneticPr fontId="0" type="noConversion"/>
  <pageMargins left="0.43307086614173229" right="0.31496062992125984" top="0.43307086614173229" bottom="0.62992125984251968" header="0.35433070866141736" footer="0.31496062992125984"/>
  <pageSetup paperSize="9" scale="91"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24792AB8-C666-4416-8441-C2127F1D5DC5}">
            <xm:f>AND(Home!$C$8=FALSE,$D15&lt;&gt;"P C Sum",$D15&lt;&gt;"PC Sum",$D15&lt;&gt;"P Sum",$D15&lt;&gt;"Prov Sum")</xm:f>
            <x14:dxf>
              <font>
                <color theme="0"/>
              </font>
            </x14:dxf>
          </x14:cfRule>
          <xm:sqref>G15</xm:sqref>
        </x14:conditionalFormatting>
        <x14:conditionalFormatting xmlns:xm="http://schemas.microsoft.com/office/excel/2006/main">
          <x14:cfRule type="expression" priority="2" id="{8C626746-1E56-4F1A-9AF2-249BB7E24ED0}">
            <xm:f>AND(Home!$C$8=FALSE,$D17&lt;&gt;"P C Sum",$D17&lt;&gt;"PC Sum",$D17&lt;&gt;"P Sum",$D17&lt;&gt;"Prov Sum")</xm:f>
            <x14:dxf>
              <font>
                <color theme="0"/>
              </font>
            </x14:dxf>
          </x14:cfRule>
          <xm:sqref>G17</xm:sqref>
        </x14:conditionalFormatting>
        <x14:conditionalFormatting xmlns:xm="http://schemas.microsoft.com/office/excel/2006/main">
          <x14:cfRule type="expression" priority="3" id="{99A6527D-F93E-4723-A5D6-C43206ECD627}">
            <xm:f>AND(Home!$C$8=FALSE,$D19&lt;&gt;"P C Sum",$D19&lt;&gt;"PC Sum",$D19&lt;&gt;"P Sum",$D19&lt;&gt;"Prov Sum")</xm:f>
            <x14:dxf>
              <font>
                <color theme="0"/>
              </font>
            </x14:dxf>
          </x14:cfRule>
          <xm:sqref>G19</xm:sqref>
        </x14:conditionalFormatting>
        <x14:conditionalFormatting xmlns:xm="http://schemas.microsoft.com/office/excel/2006/main">
          <x14:cfRule type="expression" priority="10" id="{E55DA3D7-8CE4-4F73-A5FD-ABF196D082B9}">
            <xm:f>AND(Home!$C$8=FALSE,$D10&lt;&gt;"P C Sum",$D10&lt;&gt;"PC Sum",$D10&lt;&gt;"P Sum",$D10&lt;&gt;"Prov Sum",$G10&gt;=0)</xm:f>
            <x14:dxf>
              <font>
                <color theme="0"/>
              </font>
            </x14:dxf>
          </x14:cfRule>
          <xm:sqref>G10:H14 H15 G16:H16 H17 G18:H18 H19 G20:H20 G22:H23</xm:sqref>
        </x14:conditionalFormatting>
        <x14:conditionalFormatting xmlns:xm="http://schemas.microsoft.com/office/excel/2006/main">
          <x14:cfRule type="expression" priority="4" id="{E7B1673E-365D-4FEB-8E9A-187A5C8800A5}">
            <xm:f>AND(Home!$C$8=FALSE,$D21&lt;&gt;"P C Sum",$D21&lt;&gt;"PC Sum",$D21&lt;&gt;"P Sum",$D21&lt;&gt;"Prov Sum")</xm:f>
            <x14:dxf>
              <font>
                <color theme="0"/>
              </font>
            </x14:dxf>
          </x14:cfRule>
          <xm:sqref>G21:H21</xm:sqref>
        </x14:conditionalFormatting>
        <x14:conditionalFormatting xmlns:xm="http://schemas.microsoft.com/office/excel/2006/main">
          <x14:cfRule type="expression" priority="321" id="{BA6D53B1-2D44-4A27-B07C-248F210F5930}">
            <xm:f>AND(Home!$C$8=FALSE,#REF!&lt;&gt;"P C Sum",#REF!&lt;&gt;"PC Sum",#REF!&lt;&gt;"P Sum",#REF!&lt;&gt;"Prov Sum")</xm:f>
            <x14:dxf>
              <font>
                <color theme="0"/>
              </font>
            </x14:dxf>
          </x14:cfRule>
          <xm:sqref>K23:M23</xm:sqref>
        </x14:conditionalFormatting>
        <x14:conditionalFormatting xmlns:xm="http://schemas.microsoft.com/office/excel/2006/main">
          <x14:cfRule type="expression" priority="6" id="{240C2E4C-D49D-4BA6-9AE4-BDBA868EB6B3}">
            <xm:f>Home!$C$8=FALSE</xm:f>
            <x14:dxf>
              <font>
                <color theme="0"/>
              </font>
            </x14:dxf>
          </x14:cfRule>
          <xm:sqref>O7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P235"/>
  <sheetViews>
    <sheetView showGridLines="0" view="pageBreakPreview" zoomScale="115" zoomScaleNormal="115" zoomScaleSheetLayoutView="115" workbookViewId="0">
      <pane xSplit="5" ySplit="2" topLeftCell="F3" activePane="bottomRight" state="frozen"/>
      <selection activeCell="F47" sqref="F47"/>
      <selection pane="topRight" activeCell="F47" sqref="F47"/>
      <selection pane="bottomLeft" activeCell="F47" sqref="F47"/>
      <selection pane="bottomRight" activeCell="J7" sqref="J7"/>
    </sheetView>
  </sheetViews>
  <sheetFormatPr defaultColWidth="8.81640625" defaultRowHeight="12" customHeight="1" x14ac:dyDescent="0.25"/>
  <cols>
    <col min="1" max="1" width="1.1796875" style="53" customWidth="1"/>
    <col min="2" max="2" width="8.54296875" style="376" customWidth="1"/>
    <col min="3" max="3" width="41.1796875" style="377" customWidth="1"/>
    <col min="4" max="4" width="9" style="25" customWidth="1"/>
    <col min="5" max="5" width="4.453125" style="378" customWidth="1"/>
    <col min="6" max="6" width="13.6328125" style="25" customWidth="1"/>
    <col min="7" max="7" width="12.1796875" style="53" customWidth="1"/>
    <col min="8" max="8" width="16.36328125" style="417" customWidth="1"/>
    <col min="9" max="9" width="1.1796875" style="53" customWidth="1"/>
    <col min="10" max="10" width="13.54296875" style="57" customWidth="1"/>
    <col min="11" max="12" width="14.1796875" style="57" customWidth="1"/>
    <col min="13" max="13" width="14.1796875" style="23" customWidth="1"/>
    <col min="14" max="16384" width="8.81640625" style="53"/>
  </cols>
  <sheetData>
    <row r="1" spans="1:16" ht="12" customHeight="1" x14ac:dyDescent="0.25">
      <c r="B1" s="54"/>
      <c r="C1" s="24" t="s">
        <v>61</v>
      </c>
      <c r="E1" s="25"/>
      <c r="F1" s="26" t="s">
        <v>93</v>
      </c>
      <c r="G1" s="24">
        <v>4</v>
      </c>
      <c r="H1" s="55">
        <f>MAX(H2:H270)</f>
        <v>130000</v>
      </c>
    </row>
    <row r="2" spans="1:16" ht="12" customHeight="1" x14ac:dyDescent="0.25">
      <c r="A2" s="23"/>
      <c r="B2" s="145"/>
      <c r="C2" s="61"/>
      <c r="D2" s="61"/>
      <c r="E2" s="61"/>
      <c r="F2" s="61"/>
      <c r="G2" s="61"/>
      <c r="H2" s="61"/>
      <c r="I2" s="26"/>
      <c r="J2" s="159"/>
      <c r="K2" s="159"/>
      <c r="L2" s="159"/>
      <c r="M2" s="159"/>
    </row>
    <row r="3" spans="1:16" s="23" customFormat="1" ht="11.5" x14ac:dyDescent="0.25">
      <c r="B3" s="63" t="str">
        <f>_Client1</f>
        <v>Province of KwaZulu-Natal</v>
      </c>
      <c r="C3" s="24"/>
      <c r="D3" s="25"/>
      <c r="F3" s="753" t="str">
        <f>"Contract No. "&amp;_ContractNo</f>
        <v>Contract No. ZNB02642/00000/00/HOD/INF/25/T</v>
      </c>
      <c r="G3" s="753"/>
      <c r="H3" s="753"/>
      <c r="I3" s="26"/>
      <c r="J3" s="57"/>
      <c r="K3" s="57"/>
      <c r="L3" s="57"/>
    </row>
    <row r="4" spans="1:16" s="23" customFormat="1" ht="11.5" x14ac:dyDescent="0.25">
      <c r="B4" s="64" t="str">
        <f>_Client2</f>
        <v>Department of Transport</v>
      </c>
      <c r="C4" s="24"/>
      <c r="D4" s="25"/>
      <c r="E4" s="25"/>
      <c r="F4" s="25"/>
      <c r="H4" s="26"/>
      <c r="I4" s="26"/>
      <c r="J4" s="57"/>
      <c r="K4" s="57"/>
      <c r="L4" s="57"/>
    </row>
    <row r="5" spans="1:16" ht="11.5" x14ac:dyDescent="0.25">
      <c r="B5" s="377"/>
    </row>
    <row r="6" spans="1:16" s="23" customFormat="1" ht="11.5" x14ac:dyDescent="0.25">
      <c r="B6" s="65" t="s">
        <v>21</v>
      </c>
      <c r="C6" s="58"/>
      <c r="D6" s="59"/>
      <c r="E6" s="59"/>
      <c r="F6" s="751" t="str">
        <f>"SECTION "&amp;B11</f>
        <v>SECTION 1.4</v>
      </c>
      <c r="G6" s="751"/>
      <c r="H6" s="752"/>
      <c r="J6" s="160"/>
      <c r="K6" s="160"/>
      <c r="L6" s="160"/>
      <c r="M6" s="35"/>
    </row>
    <row r="7" spans="1:16" s="23" customFormat="1" ht="22.25" customHeight="1" x14ac:dyDescent="0.25">
      <c r="B7" s="754" t="str">
        <f>_Description</f>
        <v>COMPLETION OF PARTLY CONSTRUCTED ROAD, PRISM, DRAINAGE, LAYERWORKS AND SURFACING ON DISTRICT ROAD 1841, KM 4.50 TO KM 10.24 IN THE EMPANGENI REGION.</v>
      </c>
      <c r="C7" s="755"/>
      <c r="D7" s="755"/>
      <c r="E7" s="755"/>
      <c r="F7" s="755"/>
      <c r="G7" s="755"/>
      <c r="H7" s="756"/>
      <c r="J7" s="161"/>
      <c r="K7" s="161"/>
      <c r="L7" s="161"/>
      <c r="M7" s="162"/>
    </row>
    <row r="8" spans="1:16" ht="8.15" customHeight="1" x14ac:dyDescent="0.25">
      <c r="B8" s="418"/>
      <c r="C8" s="386"/>
      <c r="D8" s="387"/>
      <c r="E8" s="386"/>
      <c r="F8" s="387"/>
      <c r="G8" s="386"/>
      <c r="H8" s="419"/>
      <c r="J8" s="161"/>
      <c r="K8" s="161"/>
      <c r="L8" s="161"/>
      <c r="M8" s="162"/>
    </row>
    <row r="9" spans="1:16" s="390" customFormat="1" ht="20.149999999999999" customHeight="1" x14ac:dyDescent="0.25">
      <c r="B9" s="6" t="s">
        <v>0</v>
      </c>
      <c r="C9" s="5" t="s">
        <v>1</v>
      </c>
      <c r="D9" s="5" t="s">
        <v>2</v>
      </c>
      <c r="E9" s="5" t="s">
        <v>30</v>
      </c>
      <c r="F9" s="5" t="s">
        <v>3</v>
      </c>
      <c r="G9" s="5" t="s">
        <v>4</v>
      </c>
      <c r="H9" s="5" t="s">
        <v>5</v>
      </c>
      <c r="I9" s="53"/>
      <c r="J9" s="159"/>
      <c r="K9" s="159"/>
      <c r="L9" s="159"/>
      <c r="M9" s="10"/>
      <c r="N9" s="53"/>
      <c r="O9" s="53"/>
      <c r="P9" s="53"/>
    </row>
    <row r="10" spans="1:16" ht="12" customHeight="1" x14ac:dyDescent="0.25">
      <c r="B10" s="7"/>
      <c r="C10" s="352"/>
      <c r="D10" s="3"/>
      <c r="E10" s="1"/>
      <c r="F10" s="3"/>
      <c r="G10" s="420"/>
      <c r="H10" s="12" t="str">
        <f t="shared" ref="H10:H22" si="0">IF(D10="","",F10*G10)</f>
        <v/>
      </c>
      <c r="J10" s="217"/>
      <c r="K10" s="218"/>
      <c r="L10" s="219"/>
      <c r="M10" s="220"/>
    </row>
    <row r="11" spans="1:16" ht="11.5" x14ac:dyDescent="0.25">
      <c r="B11" s="421" t="s">
        <v>261</v>
      </c>
      <c r="C11" s="398" t="s">
        <v>262</v>
      </c>
      <c r="D11" s="3"/>
      <c r="E11" s="1"/>
      <c r="F11" s="3"/>
      <c r="G11" s="420"/>
      <c r="H11" s="12" t="str">
        <f t="shared" si="0"/>
        <v/>
      </c>
      <c r="J11" s="217"/>
      <c r="K11" s="218"/>
      <c r="L11" s="219"/>
      <c r="M11" s="220"/>
    </row>
    <row r="12" spans="1:16" ht="11.5" x14ac:dyDescent="0.25">
      <c r="B12" s="7"/>
      <c r="C12" s="352"/>
      <c r="D12" s="3"/>
      <c r="E12" s="1"/>
      <c r="F12" s="3"/>
      <c r="G12" s="420"/>
      <c r="H12" s="12" t="str">
        <f t="shared" si="0"/>
        <v/>
      </c>
      <c r="J12" s="217"/>
      <c r="K12" s="218"/>
      <c r="L12" s="219"/>
      <c r="M12" s="220"/>
    </row>
    <row r="13" spans="1:16" ht="11.5" x14ac:dyDescent="0.25">
      <c r="B13" s="7" t="s">
        <v>263</v>
      </c>
      <c r="C13" s="422" t="s">
        <v>264</v>
      </c>
      <c r="D13" s="3" t="s">
        <v>9</v>
      </c>
      <c r="E13" s="408"/>
      <c r="F13" s="423">
        <v>48</v>
      </c>
      <c r="G13" s="171">
        <v>0</v>
      </c>
      <c r="H13" s="345">
        <f t="shared" si="0"/>
        <v>0</v>
      </c>
      <c r="J13" s="217"/>
      <c r="K13" s="218"/>
      <c r="L13" s="219"/>
      <c r="M13" s="220"/>
    </row>
    <row r="14" spans="1:16" ht="11.5" x14ac:dyDescent="0.25">
      <c r="B14" s="7"/>
      <c r="C14" s="352"/>
      <c r="D14" s="3"/>
      <c r="E14" s="1"/>
      <c r="F14" s="3"/>
      <c r="G14" s="420"/>
      <c r="H14" s="328" t="str">
        <f t="shared" si="0"/>
        <v/>
      </c>
      <c r="J14" s="217"/>
      <c r="K14" s="218"/>
      <c r="L14" s="219"/>
      <c r="M14" s="220"/>
    </row>
    <row r="15" spans="1:16" ht="11.5" x14ac:dyDescent="0.25">
      <c r="B15" s="7" t="s">
        <v>265</v>
      </c>
      <c r="C15" s="352" t="s">
        <v>266</v>
      </c>
      <c r="D15" s="3" t="s">
        <v>10</v>
      </c>
      <c r="E15" s="424"/>
      <c r="F15" s="423">
        <v>4</v>
      </c>
      <c r="G15" s="171">
        <v>0</v>
      </c>
      <c r="H15" s="345">
        <f t="shared" si="0"/>
        <v>0</v>
      </c>
      <c r="J15" s="217"/>
      <c r="K15" s="218"/>
      <c r="L15" s="219"/>
      <c r="M15" s="220"/>
    </row>
    <row r="16" spans="1:16" ht="11.5" x14ac:dyDescent="0.25">
      <c r="B16" s="7"/>
      <c r="C16" s="352"/>
      <c r="D16" s="3"/>
      <c r="E16" s="424"/>
      <c r="F16" s="423"/>
      <c r="G16" s="425"/>
      <c r="H16" s="426"/>
      <c r="J16" s="217"/>
      <c r="K16" s="218"/>
      <c r="L16" s="219"/>
      <c r="M16" s="220"/>
    </row>
    <row r="17" spans="2:13" ht="11.5" x14ac:dyDescent="0.25">
      <c r="B17" s="7"/>
      <c r="C17" s="352"/>
      <c r="D17" s="3"/>
      <c r="E17" s="1"/>
      <c r="F17" s="3"/>
      <c r="G17" s="420"/>
      <c r="H17" s="427" t="str">
        <f>IF(D17="","",F17*G17)</f>
        <v/>
      </c>
      <c r="J17" s="217"/>
      <c r="K17" s="218"/>
      <c r="L17" s="219"/>
      <c r="M17" s="220"/>
    </row>
    <row r="18" spans="2:13" ht="11.5" x14ac:dyDescent="0.25">
      <c r="B18" s="7" t="s">
        <v>267</v>
      </c>
      <c r="C18" s="422" t="s">
        <v>268</v>
      </c>
      <c r="D18" s="3"/>
      <c r="E18" s="408"/>
      <c r="F18" s="423"/>
      <c r="G18" s="420"/>
      <c r="H18" s="427"/>
      <c r="J18" s="217"/>
      <c r="K18" s="218"/>
      <c r="L18" s="219"/>
      <c r="M18" s="220"/>
    </row>
    <row r="19" spans="2:13" ht="11.5" x14ac:dyDescent="0.25">
      <c r="B19" s="7"/>
      <c r="C19" s="352"/>
      <c r="D19" s="3"/>
      <c r="E19" s="1"/>
      <c r="F19" s="3"/>
      <c r="G19" s="420"/>
      <c r="H19" s="427" t="str">
        <f>IF(D19="","",F19*G19)</f>
        <v/>
      </c>
      <c r="J19" s="217"/>
      <c r="K19" s="218"/>
      <c r="L19" s="219"/>
      <c r="M19" s="220"/>
    </row>
    <row r="20" spans="2:13" ht="11.5" x14ac:dyDescent="0.25">
      <c r="B20" s="7" t="s">
        <v>269</v>
      </c>
      <c r="C20" s="422" t="s">
        <v>270</v>
      </c>
      <c r="D20" s="407"/>
      <c r="E20" s="408"/>
      <c r="F20" s="423"/>
      <c r="G20" s="420"/>
      <c r="H20" s="427" t="str">
        <f t="shared" si="0"/>
        <v/>
      </c>
      <c r="J20" s="217"/>
      <c r="K20" s="218"/>
      <c r="L20" s="219"/>
      <c r="M20" s="220"/>
    </row>
    <row r="21" spans="2:13" ht="11.5" x14ac:dyDescent="0.25">
      <c r="B21" s="7"/>
      <c r="C21" s="352"/>
      <c r="D21" s="3"/>
      <c r="E21" s="1"/>
      <c r="F21" s="3"/>
      <c r="G21" s="420"/>
      <c r="H21" s="427" t="str">
        <f t="shared" si="0"/>
        <v/>
      </c>
      <c r="J21" s="217"/>
      <c r="K21" s="218"/>
      <c r="L21" s="219"/>
      <c r="M21" s="220"/>
    </row>
    <row r="22" spans="2:13" ht="11.5" x14ac:dyDescent="0.25">
      <c r="B22" s="7" t="s">
        <v>271</v>
      </c>
      <c r="C22" s="428" t="s">
        <v>272</v>
      </c>
      <c r="D22" s="407" t="s">
        <v>35</v>
      </c>
      <c r="E22" s="429"/>
      <c r="F22" s="423">
        <v>3</v>
      </c>
      <c r="G22" s="171">
        <v>0</v>
      </c>
      <c r="H22" s="345">
        <f t="shared" si="0"/>
        <v>0</v>
      </c>
      <c r="J22" s="217"/>
      <c r="K22" s="218"/>
      <c r="L22" s="219"/>
      <c r="M22" s="220"/>
    </row>
    <row r="23" spans="2:13" ht="11.5" x14ac:dyDescent="0.25">
      <c r="B23" s="7"/>
      <c r="C23" s="428"/>
      <c r="D23" s="3"/>
      <c r="E23" s="1"/>
      <c r="F23" s="3"/>
      <c r="G23" s="420"/>
      <c r="H23" s="328" t="str">
        <f>IF(D23="","",F23*G23)</f>
        <v/>
      </c>
      <c r="J23" s="217"/>
      <c r="K23" s="218"/>
      <c r="L23" s="219"/>
      <c r="M23" s="220"/>
    </row>
    <row r="24" spans="2:13" ht="11.5" x14ac:dyDescent="0.25">
      <c r="B24" s="7" t="s">
        <v>274</v>
      </c>
      <c r="C24" s="428" t="s">
        <v>273</v>
      </c>
      <c r="D24" s="407" t="s">
        <v>35</v>
      </c>
      <c r="E24" s="429"/>
      <c r="F24" s="423">
        <v>20</v>
      </c>
      <c r="G24" s="171">
        <v>0</v>
      </c>
      <c r="H24" s="345">
        <f t="shared" ref="H24" si="1">IF(D24="","",F24*G24)</f>
        <v>0</v>
      </c>
      <c r="J24" s="217"/>
      <c r="K24" s="218"/>
      <c r="L24" s="219"/>
      <c r="M24" s="220"/>
    </row>
    <row r="25" spans="2:13" ht="11.5" x14ac:dyDescent="0.25">
      <c r="B25" s="7"/>
      <c r="C25" s="428"/>
      <c r="D25" s="3"/>
      <c r="E25" s="1"/>
      <c r="F25" s="3"/>
      <c r="G25" s="420"/>
      <c r="H25" s="427" t="str">
        <f t="shared" ref="H25:H48" si="2">IF(D25="","",F25*G25)</f>
        <v/>
      </c>
      <c r="J25" s="217"/>
      <c r="K25" s="218"/>
      <c r="L25" s="219"/>
      <c r="M25" s="220"/>
    </row>
    <row r="26" spans="2:13" ht="23" x14ac:dyDescent="0.25">
      <c r="B26" s="7" t="s">
        <v>487</v>
      </c>
      <c r="C26" s="428" t="s">
        <v>488</v>
      </c>
      <c r="D26" s="407" t="s">
        <v>35</v>
      </c>
      <c r="E26" s="408"/>
      <c r="F26" s="423">
        <v>6</v>
      </c>
      <c r="G26" s="171">
        <v>0</v>
      </c>
      <c r="H26" s="345">
        <f t="shared" si="2"/>
        <v>0</v>
      </c>
      <c r="J26" s="217"/>
      <c r="K26" s="218"/>
      <c r="L26" s="219"/>
      <c r="M26" s="220"/>
    </row>
    <row r="27" spans="2:13" ht="11.5" x14ac:dyDescent="0.25">
      <c r="B27" s="7"/>
      <c r="C27" s="430"/>
      <c r="D27" s="3"/>
      <c r="E27" s="1"/>
      <c r="F27" s="3"/>
      <c r="G27" s="420"/>
      <c r="H27" s="328" t="str">
        <f t="shared" si="2"/>
        <v/>
      </c>
      <c r="J27" s="217"/>
      <c r="K27" s="218"/>
      <c r="L27" s="219"/>
      <c r="M27" s="220"/>
    </row>
    <row r="28" spans="2:13" ht="11.5" x14ac:dyDescent="0.25">
      <c r="B28" s="7" t="s">
        <v>275</v>
      </c>
      <c r="C28" s="352" t="s">
        <v>568</v>
      </c>
      <c r="D28" s="423" t="s">
        <v>35</v>
      </c>
      <c r="E28" s="429"/>
      <c r="F28" s="423">
        <v>1</v>
      </c>
      <c r="G28" s="171">
        <v>0</v>
      </c>
      <c r="H28" s="345">
        <f t="shared" si="2"/>
        <v>0</v>
      </c>
      <c r="J28" s="217"/>
      <c r="K28" s="218"/>
      <c r="L28" s="219"/>
      <c r="M28" s="220"/>
    </row>
    <row r="29" spans="2:13" ht="11.5" x14ac:dyDescent="0.25">
      <c r="B29" s="7"/>
      <c r="C29" s="428"/>
      <c r="D29" s="423"/>
      <c r="E29" s="429"/>
      <c r="F29" s="423"/>
      <c r="G29" s="420"/>
      <c r="H29" s="427"/>
      <c r="J29" s="217"/>
      <c r="K29" s="218"/>
      <c r="L29" s="219"/>
      <c r="M29" s="220"/>
    </row>
    <row r="30" spans="2:13" ht="11.5" x14ac:dyDescent="0.25">
      <c r="B30" s="7" t="s">
        <v>276</v>
      </c>
      <c r="C30" s="428" t="s">
        <v>277</v>
      </c>
      <c r="D30" s="407" t="s">
        <v>35</v>
      </c>
      <c r="E30" s="431"/>
      <c r="F30" s="423">
        <v>2</v>
      </c>
      <c r="G30" s="171">
        <v>0</v>
      </c>
      <c r="H30" s="345">
        <f t="shared" si="2"/>
        <v>0</v>
      </c>
      <c r="J30" s="217"/>
      <c r="K30" s="218"/>
      <c r="L30" s="219"/>
      <c r="M30" s="220"/>
    </row>
    <row r="31" spans="2:13" ht="11.5" x14ac:dyDescent="0.25">
      <c r="B31" s="7"/>
      <c r="C31" s="428"/>
      <c r="D31" s="423"/>
      <c r="E31" s="429"/>
      <c r="F31" s="423"/>
      <c r="G31" s="420"/>
      <c r="H31" s="427" t="str">
        <f t="shared" ref="H31:H41" si="3">IF(D31="","",F31*G31)</f>
        <v/>
      </c>
      <c r="J31" s="217"/>
      <c r="K31" s="218"/>
      <c r="L31" s="219"/>
      <c r="M31" s="220"/>
    </row>
    <row r="32" spans="2:13" ht="11.5" x14ac:dyDescent="0.25">
      <c r="B32" s="7" t="s">
        <v>278</v>
      </c>
      <c r="C32" s="428" t="s">
        <v>279</v>
      </c>
      <c r="D32" s="423" t="s">
        <v>35</v>
      </c>
      <c r="E32" s="429"/>
      <c r="F32" s="423">
        <v>2</v>
      </c>
      <c r="G32" s="171">
        <v>0</v>
      </c>
      <c r="H32" s="345">
        <f t="shared" si="2"/>
        <v>0</v>
      </c>
      <c r="J32" s="217"/>
      <c r="K32" s="218"/>
      <c r="L32" s="219"/>
      <c r="M32" s="220"/>
    </row>
    <row r="33" spans="2:13" ht="11.5" x14ac:dyDescent="0.25">
      <c r="B33" s="7"/>
      <c r="C33" s="428"/>
      <c r="D33" s="3"/>
      <c r="E33" s="1"/>
      <c r="F33" s="3"/>
      <c r="G33" s="420"/>
      <c r="H33" s="328" t="str">
        <f t="shared" si="3"/>
        <v/>
      </c>
      <c r="J33" s="217"/>
      <c r="K33" s="218"/>
      <c r="L33" s="219"/>
      <c r="M33" s="220"/>
    </row>
    <row r="34" spans="2:13" s="23" customFormat="1" ht="11.5" x14ac:dyDescent="0.25">
      <c r="B34" s="9" t="s">
        <v>280</v>
      </c>
      <c r="C34" s="432" t="s">
        <v>281</v>
      </c>
      <c r="D34" s="407" t="s">
        <v>35</v>
      </c>
      <c r="E34" s="407"/>
      <c r="F34" s="423">
        <v>3</v>
      </c>
      <c r="G34" s="171">
        <v>0</v>
      </c>
      <c r="H34" s="345">
        <f t="shared" si="2"/>
        <v>0</v>
      </c>
      <c r="J34" s="278"/>
      <c r="K34" s="279"/>
      <c r="L34" s="280"/>
      <c r="M34" s="281"/>
    </row>
    <row r="35" spans="2:13" s="23" customFormat="1" ht="11.5" x14ac:dyDescent="0.25">
      <c r="B35" s="9"/>
      <c r="C35" s="432"/>
      <c r="D35" s="407"/>
      <c r="E35" s="407"/>
      <c r="F35" s="423"/>
      <c r="G35" s="412"/>
      <c r="H35" s="291"/>
      <c r="J35" s="278"/>
      <c r="K35" s="279"/>
      <c r="L35" s="280"/>
      <c r="M35" s="281"/>
    </row>
    <row r="36" spans="2:13" s="23" customFormat="1" ht="11.5" x14ac:dyDescent="0.25">
      <c r="B36" s="9" t="s">
        <v>489</v>
      </c>
      <c r="C36" s="432" t="s">
        <v>490</v>
      </c>
      <c r="D36" s="407" t="s">
        <v>35</v>
      </c>
      <c r="E36" s="407"/>
      <c r="F36" s="423">
        <v>3</v>
      </c>
      <c r="G36" s="171">
        <v>0</v>
      </c>
      <c r="H36" s="345">
        <f t="shared" si="2"/>
        <v>0</v>
      </c>
      <c r="J36" s="278"/>
      <c r="K36" s="279"/>
      <c r="L36" s="280"/>
      <c r="M36" s="281"/>
    </row>
    <row r="37" spans="2:13" ht="11.5" x14ac:dyDescent="0.25">
      <c r="B37" s="7"/>
      <c r="C37" s="428"/>
      <c r="D37" s="3"/>
      <c r="E37" s="1"/>
      <c r="F37" s="3"/>
      <c r="G37" s="420"/>
      <c r="H37" s="328" t="str">
        <f t="shared" si="3"/>
        <v/>
      </c>
      <c r="J37" s="217"/>
      <c r="K37" s="218"/>
      <c r="L37" s="219"/>
      <c r="M37" s="220"/>
    </row>
    <row r="38" spans="2:13" ht="11.5" x14ac:dyDescent="0.25">
      <c r="B38" s="7" t="s">
        <v>282</v>
      </c>
      <c r="C38" s="428" t="s">
        <v>283</v>
      </c>
      <c r="D38" s="407" t="s">
        <v>35</v>
      </c>
      <c r="E38" s="408"/>
      <c r="F38" s="423">
        <v>1</v>
      </c>
      <c r="G38" s="171">
        <v>0</v>
      </c>
      <c r="H38" s="345">
        <f t="shared" si="2"/>
        <v>0</v>
      </c>
      <c r="J38" s="217"/>
      <c r="K38" s="218"/>
      <c r="L38" s="219"/>
      <c r="M38" s="220"/>
    </row>
    <row r="39" spans="2:13" ht="11.5" x14ac:dyDescent="0.25">
      <c r="B39" s="7"/>
      <c r="C39" s="428"/>
      <c r="D39" s="3"/>
      <c r="E39" s="1"/>
      <c r="F39" s="3"/>
      <c r="G39" s="420"/>
      <c r="H39" s="328" t="str">
        <f t="shared" si="3"/>
        <v/>
      </c>
      <c r="J39" s="217"/>
      <c r="K39" s="218"/>
      <c r="L39" s="219"/>
      <c r="M39" s="220"/>
    </row>
    <row r="40" spans="2:13" ht="11.5" x14ac:dyDescent="0.25">
      <c r="B40" s="7" t="s">
        <v>284</v>
      </c>
      <c r="C40" s="428" t="s">
        <v>285</v>
      </c>
      <c r="D40" s="407" t="s">
        <v>35</v>
      </c>
      <c r="E40" s="408"/>
      <c r="F40" s="423">
        <v>2</v>
      </c>
      <c r="G40" s="171">
        <v>0</v>
      </c>
      <c r="H40" s="345">
        <f t="shared" si="2"/>
        <v>0</v>
      </c>
      <c r="J40" s="217"/>
      <c r="K40" s="218"/>
      <c r="L40" s="219"/>
      <c r="M40" s="220"/>
    </row>
    <row r="41" spans="2:13" ht="11.5" x14ac:dyDescent="0.25">
      <c r="B41" s="7"/>
      <c r="C41" s="428"/>
      <c r="D41" s="3"/>
      <c r="E41" s="1"/>
      <c r="F41" s="3"/>
      <c r="G41" s="420"/>
      <c r="H41" s="328" t="str">
        <f t="shared" si="3"/>
        <v/>
      </c>
      <c r="J41" s="217"/>
      <c r="K41" s="218"/>
      <c r="L41" s="219"/>
      <c r="M41" s="220"/>
    </row>
    <row r="42" spans="2:13" ht="11.5" x14ac:dyDescent="0.25">
      <c r="B42" s="7" t="s">
        <v>286</v>
      </c>
      <c r="C42" s="428" t="s">
        <v>287</v>
      </c>
      <c r="D42" s="423" t="s">
        <v>10</v>
      </c>
      <c r="E42" s="429"/>
      <c r="F42" s="423">
        <v>2</v>
      </c>
      <c r="G42" s="171">
        <v>0</v>
      </c>
      <c r="H42" s="345">
        <f t="shared" si="2"/>
        <v>0</v>
      </c>
      <c r="J42" s="217"/>
      <c r="K42" s="218"/>
      <c r="L42" s="219"/>
      <c r="M42" s="220"/>
    </row>
    <row r="43" spans="2:13" ht="11.5" x14ac:dyDescent="0.25">
      <c r="B43" s="7"/>
      <c r="C43" s="428"/>
      <c r="D43" s="3"/>
      <c r="E43" s="1"/>
      <c r="F43" s="3"/>
      <c r="G43" s="420"/>
      <c r="H43" s="328" t="str">
        <f t="shared" ref="H43:H49" si="4">IF(D43="","",F43*G43)</f>
        <v/>
      </c>
      <c r="J43" s="217"/>
      <c r="K43" s="218"/>
      <c r="L43" s="219"/>
      <c r="M43" s="220"/>
    </row>
    <row r="44" spans="2:13" ht="11.5" x14ac:dyDescent="0.25">
      <c r="B44" s="7" t="s">
        <v>288</v>
      </c>
      <c r="C44" s="428" t="s">
        <v>289</v>
      </c>
      <c r="D44" s="407" t="s">
        <v>10</v>
      </c>
      <c r="E44" s="408"/>
      <c r="F44" s="423">
        <v>1</v>
      </c>
      <c r="G44" s="171">
        <v>0</v>
      </c>
      <c r="H44" s="345">
        <f t="shared" si="2"/>
        <v>0</v>
      </c>
      <c r="J44" s="217"/>
      <c r="K44" s="218"/>
      <c r="L44" s="219"/>
      <c r="M44" s="220"/>
    </row>
    <row r="45" spans="2:13" ht="11.5" x14ac:dyDescent="0.25">
      <c r="B45" s="7"/>
      <c r="C45" s="428"/>
      <c r="D45" s="3"/>
      <c r="E45" s="1"/>
      <c r="F45" s="3"/>
      <c r="G45" s="420"/>
      <c r="H45" s="328" t="str">
        <f t="shared" si="4"/>
        <v/>
      </c>
      <c r="J45" s="217"/>
      <c r="K45" s="218"/>
      <c r="L45" s="219"/>
      <c r="M45" s="220"/>
    </row>
    <row r="46" spans="2:13" ht="11.5" x14ac:dyDescent="0.25">
      <c r="B46" s="7" t="s">
        <v>290</v>
      </c>
      <c r="C46" s="428" t="s">
        <v>291</v>
      </c>
      <c r="D46" s="423" t="s">
        <v>10</v>
      </c>
      <c r="E46" s="429"/>
      <c r="F46" s="423">
        <v>1</v>
      </c>
      <c r="G46" s="171">
        <v>0</v>
      </c>
      <c r="H46" s="345">
        <f t="shared" si="2"/>
        <v>0</v>
      </c>
      <c r="J46" s="217"/>
      <c r="K46" s="218"/>
      <c r="L46" s="219"/>
      <c r="M46" s="220"/>
    </row>
    <row r="47" spans="2:13" ht="11.5" x14ac:dyDescent="0.25">
      <c r="B47" s="7"/>
      <c r="C47" s="428"/>
      <c r="D47" s="3"/>
      <c r="E47" s="1"/>
      <c r="F47" s="3"/>
      <c r="G47" s="420"/>
      <c r="H47" s="328" t="str">
        <f t="shared" si="4"/>
        <v/>
      </c>
      <c r="J47" s="217"/>
      <c r="K47" s="218"/>
      <c r="L47" s="219"/>
      <c r="M47" s="220"/>
    </row>
    <row r="48" spans="2:13" ht="11.5" x14ac:dyDescent="0.25">
      <c r="B48" s="7" t="s">
        <v>292</v>
      </c>
      <c r="C48" s="428" t="s">
        <v>293</v>
      </c>
      <c r="D48" s="407" t="s">
        <v>10</v>
      </c>
      <c r="E48" s="408"/>
      <c r="F48" s="423">
        <v>1</v>
      </c>
      <c r="G48" s="171">
        <v>0</v>
      </c>
      <c r="H48" s="345">
        <f t="shared" si="2"/>
        <v>0</v>
      </c>
      <c r="J48" s="217"/>
      <c r="K48" s="218"/>
      <c r="L48" s="219"/>
      <c r="M48" s="220"/>
    </row>
    <row r="49" spans="1:13" ht="11.5" x14ac:dyDescent="0.25">
      <c r="B49" s="7"/>
      <c r="C49" s="433"/>
      <c r="D49" s="3"/>
      <c r="E49" s="1"/>
      <c r="F49" s="3"/>
      <c r="G49" s="420"/>
      <c r="H49" s="427" t="str">
        <f t="shared" si="4"/>
        <v/>
      </c>
      <c r="J49" s="218"/>
      <c r="K49" s="218"/>
      <c r="L49" s="219"/>
      <c r="M49" s="220"/>
    </row>
    <row r="50" spans="1:13" ht="6.75" customHeight="1" x14ac:dyDescent="0.25">
      <c r="B50" s="7"/>
      <c r="C50" s="352"/>
      <c r="D50" s="3"/>
      <c r="E50" s="434"/>
      <c r="F50" s="3"/>
      <c r="G50" s="435"/>
      <c r="H50" s="435" t="str">
        <f>IF(D50="","",F50*G50)</f>
        <v/>
      </c>
      <c r="J50" s="217"/>
      <c r="K50" s="218"/>
      <c r="L50" s="219"/>
      <c r="M50" s="220"/>
    </row>
    <row r="51" spans="1:13" s="416" customFormat="1" ht="24.75" customHeight="1" x14ac:dyDescent="0.25">
      <c r="B51" s="436" t="s">
        <v>634</v>
      </c>
      <c r="C51" s="28" t="str">
        <f>"TOTAL CARRIED FORWARD"&amp;IF(H51=H$1," TO SUMMARY (Page C"&amp;Page_A&amp;")","")</f>
        <v>TOTAL CARRIED FORWARD</v>
      </c>
      <c r="D51" s="21"/>
      <c r="E51" s="21"/>
      <c r="F51" s="22"/>
      <c r="G51" s="437"/>
      <c r="H51" s="413">
        <f>SUM(H10:H50)</f>
        <v>0</v>
      </c>
      <c r="J51" s="254"/>
      <c r="K51" s="254"/>
      <c r="L51" s="318"/>
      <c r="M51" s="35"/>
    </row>
    <row r="52" spans="1:13" ht="6" customHeight="1" x14ac:dyDescent="0.25">
      <c r="L52" s="71"/>
    </row>
    <row r="53" spans="1:13" ht="12" customHeight="1" x14ac:dyDescent="0.25">
      <c r="A53" s="23"/>
      <c r="B53" s="63" t="str">
        <f>B$3</f>
        <v>Province of KwaZulu-Natal</v>
      </c>
      <c r="C53" s="24"/>
      <c r="E53" s="753" t="str">
        <f>F$3</f>
        <v>Contract No. ZNB02642/00000/00/HOD/INF/25/T</v>
      </c>
      <c r="F53" s="753"/>
      <c r="G53" s="753"/>
      <c r="H53" s="753"/>
      <c r="I53" s="26"/>
      <c r="L53" s="71"/>
    </row>
    <row r="54" spans="1:13" ht="12" customHeight="1" x14ac:dyDescent="0.25">
      <c r="A54" s="23"/>
      <c r="B54" s="64" t="str">
        <f>B$4</f>
        <v>Department of Transport</v>
      </c>
      <c r="C54" s="24"/>
      <c r="E54" s="25"/>
      <c r="G54" s="23"/>
      <c r="H54" s="26"/>
      <c r="I54" s="26"/>
      <c r="L54" s="71"/>
    </row>
    <row r="55" spans="1:13" ht="12" customHeight="1" x14ac:dyDescent="0.25">
      <c r="B55" s="377"/>
      <c r="L55" s="71"/>
    </row>
    <row r="56" spans="1:13" ht="12" customHeight="1" x14ac:dyDescent="0.25">
      <c r="A56" s="23"/>
      <c r="B56" s="65" t="str">
        <f>B$6</f>
        <v>SCHEDULE A: ROADWORKS</v>
      </c>
      <c r="C56" s="58"/>
      <c r="D56" s="59"/>
      <c r="E56" s="59"/>
      <c r="F56" s="751" t="str">
        <f>F$6</f>
        <v>SECTION 1.4</v>
      </c>
      <c r="G56" s="751"/>
      <c r="H56" s="752"/>
      <c r="I56" s="23"/>
      <c r="L56" s="71"/>
    </row>
    <row r="57" spans="1:13" ht="12" customHeight="1" x14ac:dyDescent="0.25">
      <c r="A57" s="23"/>
      <c r="B57" s="754" t="str">
        <f>B$7</f>
        <v>COMPLETION OF PARTLY CONSTRUCTED ROAD, PRISM, DRAINAGE, LAYERWORKS AND SURFACING ON DISTRICT ROAD 1841, KM 4.50 TO KM 10.24 IN THE EMPANGENI REGION.</v>
      </c>
      <c r="C57" s="755"/>
      <c r="D57" s="755"/>
      <c r="E57" s="755"/>
      <c r="F57" s="755"/>
      <c r="G57" s="755"/>
      <c r="H57" s="756"/>
      <c r="I57" s="23"/>
      <c r="L57" s="71"/>
    </row>
    <row r="58" spans="1:13" ht="12" customHeight="1" x14ac:dyDescent="0.25">
      <c r="B58" s="757"/>
      <c r="C58" s="758"/>
      <c r="D58" s="758"/>
      <c r="E58" s="758"/>
      <c r="F58" s="758"/>
      <c r="G58" s="758"/>
      <c r="H58" s="759"/>
      <c r="L58" s="71"/>
    </row>
    <row r="59" spans="1:13" ht="12" customHeight="1" x14ac:dyDescent="0.25">
      <c r="A59" s="390"/>
      <c r="B59" s="6" t="s">
        <v>0</v>
      </c>
      <c r="C59" s="5" t="s">
        <v>1</v>
      </c>
      <c r="D59" s="5" t="s">
        <v>2</v>
      </c>
      <c r="E59" s="5" t="s">
        <v>30</v>
      </c>
      <c r="F59" s="5" t="s">
        <v>3</v>
      </c>
      <c r="G59" s="5" t="s">
        <v>4</v>
      </c>
      <c r="H59" s="5" t="s">
        <v>5</v>
      </c>
      <c r="J59" s="159"/>
      <c r="K59" s="159"/>
      <c r="L59" s="307"/>
      <c r="M59" s="10"/>
    </row>
    <row r="60" spans="1:13" s="66" customFormat="1" ht="5.25" customHeight="1" x14ac:dyDescent="0.25">
      <c r="B60" s="438"/>
      <c r="C60" s="439"/>
      <c r="D60" s="440"/>
      <c r="E60" s="441"/>
      <c r="F60" s="442"/>
      <c r="G60" s="443"/>
      <c r="H60" s="444"/>
      <c r="J60" s="217"/>
      <c r="K60" s="218"/>
      <c r="L60" s="219"/>
      <c r="M60" s="220"/>
    </row>
    <row r="61" spans="1:13" s="66" customFormat="1" ht="12" customHeight="1" x14ac:dyDescent="0.25">
      <c r="B61" s="445"/>
      <c r="C61" s="66" t="s">
        <v>29</v>
      </c>
      <c r="D61" s="25"/>
      <c r="E61" s="446"/>
      <c r="F61" s="447"/>
      <c r="G61" s="448"/>
      <c r="H61" s="449">
        <f>H51</f>
        <v>0</v>
      </c>
      <c r="J61" s="217"/>
      <c r="K61" s="218"/>
      <c r="L61" s="219"/>
      <c r="M61" s="220"/>
    </row>
    <row r="62" spans="1:13" s="66" customFormat="1" ht="6" customHeight="1" x14ac:dyDescent="0.25">
      <c r="B62" s="450"/>
      <c r="C62" s="451"/>
      <c r="D62" s="452"/>
      <c r="E62" s="453"/>
      <c r="F62" s="454"/>
      <c r="G62" s="455"/>
      <c r="H62" s="456"/>
      <c r="J62" s="217"/>
      <c r="K62" s="218"/>
      <c r="L62" s="219"/>
      <c r="M62" s="220"/>
    </row>
    <row r="63" spans="1:13" ht="12" customHeight="1" x14ac:dyDescent="0.25">
      <c r="B63" s="7"/>
      <c r="C63" s="428"/>
      <c r="D63" s="3"/>
      <c r="E63" s="429"/>
      <c r="F63" s="423"/>
      <c r="G63" s="420"/>
      <c r="H63" s="427" t="str">
        <f t="shared" ref="H63:H72" si="5">IF(D63="","",F63*G63)</f>
        <v/>
      </c>
      <c r="J63" s="218"/>
      <c r="K63" s="218"/>
      <c r="L63" s="219"/>
      <c r="M63" s="220"/>
    </row>
    <row r="64" spans="1:13" ht="11.5" x14ac:dyDescent="0.25">
      <c r="B64" s="7" t="s">
        <v>294</v>
      </c>
      <c r="C64" s="457" t="s">
        <v>295</v>
      </c>
      <c r="D64" s="3" t="s">
        <v>10</v>
      </c>
      <c r="E64" s="3"/>
      <c r="F64" s="3">
        <v>2</v>
      </c>
      <c r="G64" s="171">
        <v>0</v>
      </c>
      <c r="H64" s="345">
        <f t="shared" si="5"/>
        <v>0</v>
      </c>
      <c r="J64" s="217"/>
      <c r="K64" s="218"/>
      <c r="L64" s="219"/>
      <c r="M64" s="220"/>
    </row>
    <row r="65" spans="2:13" ht="11.5" x14ac:dyDescent="0.25">
      <c r="B65" s="7"/>
      <c r="C65" s="428"/>
      <c r="D65" s="423"/>
      <c r="E65" s="423"/>
      <c r="F65" s="423"/>
      <c r="G65" s="412"/>
      <c r="H65" s="291" t="str">
        <f>IF(D65="","",F65*G65)</f>
        <v/>
      </c>
      <c r="J65" s="217"/>
      <c r="K65" s="218"/>
      <c r="L65" s="219"/>
      <c r="M65" s="220"/>
    </row>
    <row r="66" spans="2:13" ht="11.5" x14ac:dyDescent="0.25">
      <c r="B66" s="7" t="s">
        <v>296</v>
      </c>
      <c r="C66" s="430" t="s">
        <v>297</v>
      </c>
      <c r="D66" s="3" t="s">
        <v>10</v>
      </c>
      <c r="E66" s="3"/>
      <c r="F66" s="3">
        <v>2</v>
      </c>
      <c r="G66" s="171">
        <v>0</v>
      </c>
      <c r="H66" s="345">
        <f t="shared" ref="H66" si="6">IF(D66="","",F66*G66)</f>
        <v>0</v>
      </c>
      <c r="J66" s="217"/>
      <c r="K66" s="218"/>
      <c r="L66" s="219"/>
      <c r="M66" s="220"/>
    </row>
    <row r="67" spans="2:13" ht="11.5" x14ac:dyDescent="0.25">
      <c r="B67" s="7"/>
      <c r="C67" s="458"/>
      <c r="D67" s="423"/>
      <c r="E67" s="423"/>
      <c r="F67" s="423"/>
      <c r="G67" s="412"/>
      <c r="H67" s="291" t="str">
        <f t="shared" si="5"/>
        <v/>
      </c>
      <c r="J67" s="217"/>
      <c r="K67" s="218"/>
      <c r="L67" s="219"/>
      <c r="M67" s="220"/>
    </row>
    <row r="68" spans="2:13" ht="23" x14ac:dyDescent="0.25">
      <c r="B68" s="7" t="s">
        <v>299</v>
      </c>
      <c r="C68" s="430" t="s">
        <v>298</v>
      </c>
      <c r="D68" s="3" t="s">
        <v>10</v>
      </c>
      <c r="E68" s="3"/>
      <c r="F68" s="3">
        <v>2</v>
      </c>
      <c r="G68" s="171">
        <v>0</v>
      </c>
      <c r="H68" s="345">
        <f t="shared" si="5"/>
        <v>0</v>
      </c>
      <c r="J68" s="217"/>
      <c r="K68" s="218"/>
      <c r="L68" s="219"/>
      <c r="M68" s="220"/>
    </row>
    <row r="69" spans="2:13" ht="11.5" x14ac:dyDescent="0.25">
      <c r="B69" s="7"/>
      <c r="C69" s="459"/>
      <c r="D69" s="407"/>
      <c r="E69" s="407"/>
      <c r="F69" s="423"/>
      <c r="G69" s="412"/>
      <c r="H69" s="291" t="str">
        <f t="shared" si="5"/>
        <v/>
      </c>
      <c r="J69" s="217"/>
      <c r="K69" s="218"/>
      <c r="L69" s="219"/>
      <c r="M69" s="220"/>
    </row>
    <row r="70" spans="2:13" ht="23" x14ac:dyDescent="0.25">
      <c r="B70" s="7" t="s">
        <v>300</v>
      </c>
      <c r="C70" s="430" t="s">
        <v>306</v>
      </c>
      <c r="D70" s="3" t="s">
        <v>10</v>
      </c>
      <c r="E70" s="3"/>
      <c r="F70" s="3">
        <v>2</v>
      </c>
      <c r="G70" s="171">
        <v>0</v>
      </c>
      <c r="H70" s="345">
        <f t="shared" si="5"/>
        <v>0</v>
      </c>
      <c r="J70" s="217"/>
      <c r="K70" s="218"/>
      <c r="L70" s="219"/>
      <c r="M70" s="220"/>
    </row>
    <row r="71" spans="2:13" ht="11.5" x14ac:dyDescent="0.25">
      <c r="B71" s="7"/>
      <c r="C71" s="430"/>
      <c r="D71" s="3"/>
      <c r="E71" s="3"/>
      <c r="F71" s="3"/>
      <c r="G71" s="412"/>
      <c r="H71" s="291" t="str">
        <f t="shared" si="5"/>
        <v/>
      </c>
      <c r="J71" s="217"/>
      <c r="K71" s="218"/>
      <c r="L71" s="219"/>
      <c r="M71" s="220"/>
    </row>
    <row r="72" spans="2:13" ht="11.5" x14ac:dyDescent="0.25">
      <c r="B72" s="7" t="s">
        <v>301</v>
      </c>
      <c r="C72" s="460" t="s">
        <v>302</v>
      </c>
      <c r="D72" s="407" t="s">
        <v>10</v>
      </c>
      <c r="E72" s="407"/>
      <c r="F72" s="423">
        <v>1</v>
      </c>
      <c r="G72" s="171">
        <v>0</v>
      </c>
      <c r="H72" s="345">
        <f t="shared" si="5"/>
        <v>0</v>
      </c>
      <c r="J72" s="217"/>
      <c r="K72" s="218"/>
      <c r="L72" s="219"/>
      <c r="M72" s="220"/>
    </row>
    <row r="73" spans="2:13" ht="11.5" x14ac:dyDescent="0.25">
      <c r="B73" s="7"/>
      <c r="C73" s="352"/>
      <c r="D73" s="3"/>
      <c r="E73" s="3"/>
      <c r="F73" s="3"/>
      <c r="G73" s="412"/>
      <c r="H73" s="403" t="str">
        <f t="shared" ref="H73:H86" si="7">IF(D73="","",F73*G73)</f>
        <v/>
      </c>
      <c r="J73" s="217"/>
      <c r="K73" s="218"/>
      <c r="L73" s="219"/>
      <c r="M73" s="220"/>
    </row>
    <row r="74" spans="2:13" ht="11.5" x14ac:dyDescent="0.25">
      <c r="B74" s="7" t="s">
        <v>304</v>
      </c>
      <c r="C74" s="460" t="s">
        <v>303</v>
      </c>
      <c r="D74" s="407" t="s">
        <v>10</v>
      </c>
      <c r="E74" s="407"/>
      <c r="F74" s="423">
        <v>1</v>
      </c>
      <c r="G74" s="171">
        <v>0</v>
      </c>
      <c r="H74" s="345">
        <f t="shared" si="7"/>
        <v>0</v>
      </c>
      <c r="J74" s="217"/>
      <c r="K74" s="218"/>
      <c r="L74" s="219"/>
      <c r="M74" s="220"/>
    </row>
    <row r="75" spans="2:13" ht="11.5" x14ac:dyDescent="0.25">
      <c r="B75" s="7"/>
      <c r="C75" s="460"/>
      <c r="D75" s="407"/>
      <c r="E75" s="407"/>
      <c r="F75" s="423"/>
      <c r="G75" s="412"/>
      <c r="H75" s="291"/>
      <c r="J75" s="217"/>
      <c r="K75" s="218"/>
      <c r="L75" s="219"/>
      <c r="M75" s="220"/>
    </row>
    <row r="76" spans="2:13" ht="11.5" x14ac:dyDescent="0.25">
      <c r="B76" s="7"/>
      <c r="C76" s="352"/>
      <c r="D76" s="3"/>
      <c r="E76" s="3"/>
      <c r="F76" s="3"/>
      <c r="G76" s="412"/>
      <c r="H76" s="291" t="str">
        <f t="shared" si="7"/>
        <v/>
      </c>
      <c r="J76" s="217"/>
      <c r="K76" s="218"/>
      <c r="L76" s="219"/>
      <c r="M76" s="220"/>
    </row>
    <row r="77" spans="2:13" ht="11.5" x14ac:dyDescent="0.25">
      <c r="B77" s="7" t="s">
        <v>305</v>
      </c>
      <c r="C77" s="352" t="s">
        <v>307</v>
      </c>
      <c r="D77" s="3"/>
      <c r="E77" s="3"/>
      <c r="F77" s="3"/>
      <c r="G77" s="412"/>
      <c r="H77" s="291" t="str">
        <f t="shared" si="7"/>
        <v/>
      </c>
      <c r="J77" s="217"/>
      <c r="K77" s="218"/>
      <c r="L77" s="219"/>
      <c r="M77" s="220"/>
    </row>
    <row r="78" spans="2:13" ht="11.5" x14ac:dyDescent="0.25">
      <c r="B78" s="7"/>
      <c r="C78" s="352"/>
      <c r="D78" s="3"/>
      <c r="E78" s="3"/>
      <c r="F78" s="3"/>
      <c r="G78" s="412"/>
      <c r="H78" s="403" t="str">
        <f t="shared" si="7"/>
        <v/>
      </c>
      <c r="J78" s="217"/>
      <c r="K78" s="218"/>
      <c r="L78" s="219"/>
      <c r="M78" s="220"/>
    </row>
    <row r="79" spans="2:13" ht="23" x14ac:dyDescent="0.25">
      <c r="B79" s="7" t="s">
        <v>309</v>
      </c>
      <c r="C79" s="430" t="s">
        <v>308</v>
      </c>
      <c r="D79" s="3" t="s">
        <v>36</v>
      </c>
      <c r="E79" s="3"/>
      <c r="F79" s="461">
        <v>50000</v>
      </c>
      <c r="G79" s="169">
        <v>1</v>
      </c>
      <c r="H79" s="290">
        <f t="shared" si="7"/>
        <v>50000</v>
      </c>
      <c r="J79" s="217"/>
      <c r="K79" s="218"/>
      <c r="L79" s="219"/>
      <c r="M79" s="220"/>
    </row>
    <row r="80" spans="2:13" ht="11.5" x14ac:dyDescent="0.25">
      <c r="B80" s="7"/>
      <c r="C80" s="352"/>
      <c r="D80" s="3"/>
      <c r="E80" s="3"/>
      <c r="F80" s="3"/>
      <c r="G80" s="462"/>
      <c r="H80" s="403" t="str">
        <f t="shared" si="7"/>
        <v/>
      </c>
      <c r="J80" s="217"/>
      <c r="K80" s="218"/>
      <c r="L80" s="219"/>
      <c r="M80" s="220"/>
    </row>
    <row r="81" spans="2:13" ht="23" x14ac:dyDescent="0.25">
      <c r="B81" s="7" t="s">
        <v>312</v>
      </c>
      <c r="C81" s="430" t="s">
        <v>313</v>
      </c>
      <c r="D81" s="3" t="s">
        <v>6</v>
      </c>
      <c r="E81" s="3"/>
      <c r="F81" s="175">
        <f>H79</f>
        <v>50000</v>
      </c>
      <c r="G81" s="168">
        <v>0</v>
      </c>
      <c r="H81" s="345">
        <f t="shared" si="7"/>
        <v>0</v>
      </c>
      <c r="J81" s="217"/>
      <c r="K81" s="218"/>
      <c r="L81" s="219"/>
      <c r="M81" s="220"/>
    </row>
    <row r="82" spans="2:13" ht="11.5" x14ac:dyDescent="0.25">
      <c r="B82" s="7"/>
      <c r="C82" s="352"/>
      <c r="D82" s="3"/>
      <c r="E82" s="3"/>
      <c r="F82" s="3"/>
      <c r="G82" s="462"/>
      <c r="H82" s="403" t="str">
        <f t="shared" si="7"/>
        <v/>
      </c>
      <c r="J82" s="217"/>
      <c r="K82" s="218"/>
      <c r="L82" s="219"/>
      <c r="M82" s="220"/>
    </row>
    <row r="83" spans="2:13" ht="23" x14ac:dyDescent="0.25">
      <c r="B83" s="7" t="s">
        <v>311</v>
      </c>
      <c r="C83" s="352" t="s">
        <v>310</v>
      </c>
      <c r="D83" s="3" t="s">
        <v>37</v>
      </c>
      <c r="E83" s="3"/>
      <c r="F83" s="461">
        <v>30000</v>
      </c>
      <c r="G83" s="169">
        <v>1</v>
      </c>
      <c r="H83" s="290">
        <f t="shared" si="7"/>
        <v>30000</v>
      </c>
      <c r="J83" s="217"/>
      <c r="K83" s="218"/>
      <c r="L83" s="219"/>
      <c r="M83" s="220"/>
    </row>
    <row r="84" spans="2:13" ht="11.5" x14ac:dyDescent="0.25">
      <c r="B84" s="7"/>
      <c r="C84" s="352"/>
      <c r="D84" s="3"/>
      <c r="E84" s="3"/>
      <c r="F84" s="3"/>
      <c r="G84" s="462"/>
      <c r="H84" s="403" t="str">
        <f t="shared" si="7"/>
        <v/>
      </c>
      <c r="J84" s="217"/>
      <c r="K84" s="218"/>
      <c r="L84" s="219"/>
      <c r="M84" s="220"/>
    </row>
    <row r="85" spans="2:13" ht="23" x14ac:dyDescent="0.25">
      <c r="B85" s="7" t="s">
        <v>314</v>
      </c>
      <c r="C85" s="430" t="s">
        <v>315</v>
      </c>
      <c r="D85" s="3" t="s">
        <v>6</v>
      </c>
      <c r="E85" s="3"/>
      <c r="F85" s="175">
        <f>H83</f>
        <v>30000</v>
      </c>
      <c r="G85" s="168">
        <v>0</v>
      </c>
      <c r="H85" s="345">
        <f t="shared" si="7"/>
        <v>0</v>
      </c>
      <c r="J85" s="217"/>
      <c r="K85" s="218"/>
      <c r="L85" s="219"/>
      <c r="M85" s="220"/>
    </row>
    <row r="86" spans="2:13" ht="11.5" x14ac:dyDescent="0.25">
      <c r="B86" s="7"/>
      <c r="C86" s="428"/>
      <c r="D86" s="423"/>
      <c r="E86" s="423"/>
      <c r="F86" s="423"/>
      <c r="G86" s="462"/>
      <c r="H86" s="291" t="str">
        <f t="shared" si="7"/>
        <v/>
      </c>
      <c r="J86" s="217"/>
      <c r="K86" s="218"/>
      <c r="L86" s="219"/>
      <c r="M86" s="220"/>
    </row>
    <row r="87" spans="2:13" ht="46" x14ac:dyDescent="0.25">
      <c r="B87" s="7" t="s">
        <v>316</v>
      </c>
      <c r="C87" s="430" t="s">
        <v>462</v>
      </c>
      <c r="D87" s="3" t="s">
        <v>36</v>
      </c>
      <c r="E87" s="3"/>
      <c r="F87" s="175">
        <v>50000</v>
      </c>
      <c r="G87" s="169">
        <v>1</v>
      </c>
      <c r="H87" s="463">
        <f t="shared" ref="H87:H98" si="8">IF(D87="","",F87*G87)</f>
        <v>50000</v>
      </c>
      <c r="J87" s="217"/>
      <c r="K87" s="218"/>
      <c r="L87" s="219"/>
      <c r="M87" s="220"/>
    </row>
    <row r="88" spans="2:13" ht="11.5" x14ac:dyDescent="0.25">
      <c r="B88" s="7"/>
      <c r="C88" s="352"/>
      <c r="D88" s="3"/>
      <c r="E88" s="3"/>
      <c r="F88" s="3"/>
      <c r="G88" s="462"/>
      <c r="H88" s="291" t="str">
        <f t="shared" si="8"/>
        <v/>
      </c>
      <c r="J88" s="217"/>
      <c r="K88" s="218"/>
      <c r="L88" s="219"/>
      <c r="M88" s="220"/>
    </row>
    <row r="89" spans="2:13" ht="23" x14ac:dyDescent="0.25">
      <c r="B89" s="7" t="s">
        <v>318</v>
      </c>
      <c r="C89" s="430" t="s">
        <v>317</v>
      </c>
      <c r="D89" s="3" t="s">
        <v>6</v>
      </c>
      <c r="E89" s="3"/>
      <c r="F89" s="175">
        <f>H87</f>
        <v>50000</v>
      </c>
      <c r="G89" s="168">
        <v>0</v>
      </c>
      <c r="H89" s="345">
        <f t="shared" si="8"/>
        <v>0</v>
      </c>
      <c r="J89" s="217"/>
      <c r="K89" s="218"/>
      <c r="L89" s="219"/>
      <c r="M89" s="220"/>
    </row>
    <row r="90" spans="2:13" ht="11.5" x14ac:dyDescent="0.25">
      <c r="B90" s="7"/>
      <c r="C90" s="430"/>
      <c r="D90" s="3"/>
      <c r="E90" s="3"/>
      <c r="F90" s="464"/>
      <c r="G90" s="465"/>
      <c r="H90" s="291"/>
      <c r="J90" s="217"/>
      <c r="K90" s="218"/>
      <c r="L90" s="219"/>
      <c r="M90" s="220"/>
    </row>
    <row r="91" spans="2:13" ht="11.5" x14ac:dyDescent="0.25">
      <c r="B91" s="7"/>
      <c r="C91" s="352"/>
      <c r="D91" s="3"/>
      <c r="E91" s="3"/>
      <c r="F91" s="3"/>
      <c r="G91" s="412"/>
      <c r="H91" s="403" t="str">
        <f t="shared" si="8"/>
        <v/>
      </c>
      <c r="J91" s="217"/>
      <c r="K91" s="218"/>
      <c r="L91" s="219"/>
      <c r="M91" s="220"/>
    </row>
    <row r="92" spans="2:13" ht="23" x14ac:dyDescent="0.25">
      <c r="B92" s="7" t="s">
        <v>319</v>
      </c>
      <c r="C92" s="352" t="s">
        <v>320</v>
      </c>
      <c r="D92" s="3"/>
      <c r="E92" s="3"/>
      <c r="F92" s="3"/>
      <c r="G92" s="412"/>
      <c r="H92" s="291"/>
      <c r="J92" s="217"/>
      <c r="K92" s="218"/>
      <c r="L92" s="219"/>
      <c r="M92" s="220"/>
    </row>
    <row r="93" spans="2:13" ht="11.5" x14ac:dyDescent="0.25">
      <c r="B93" s="7"/>
      <c r="C93" s="352"/>
      <c r="D93" s="3"/>
      <c r="E93" s="3"/>
      <c r="F93" s="3"/>
      <c r="G93" s="412"/>
      <c r="H93" s="291" t="str">
        <f t="shared" si="8"/>
        <v/>
      </c>
      <c r="J93" s="217"/>
      <c r="K93" s="218"/>
      <c r="L93" s="219"/>
      <c r="M93" s="220"/>
    </row>
    <row r="94" spans="2:13" ht="11.5" x14ac:dyDescent="0.25">
      <c r="B94" s="7" t="s">
        <v>322</v>
      </c>
      <c r="C94" s="352" t="s">
        <v>321</v>
      </c>
      <c r="D94" s="3" t="s">
        <v>325</v>
      </c>
      <c r="E94" s="3"/>
      <c r="F94" s="3">
        <v>1</v>
      </c>
      <c r="G94" s="171">
        <v>0</v>
      </c>
      <c r="H94" s="345">
        <f t="shared" si="8"/>
        <v>0</v>
      </c>
      <c r="J94" s="217"/>
      <c r="K94" s="218"/>
      <c r="L94" s="219"/>
      <c r="M94" s="220"/>
    </row>
    <row r="95" spans="2:13" ht="11.5" x14ac:dyDescent="0.25">
      <c r="B95" s="7"/>
      <c r="C95" s="352"/>
      <c r="D95" s="3"/>
      <c r="E95" s="3"/>
      <c r="F95" s="3"/>
      <c r="G95" s="412"/>
      <c r="H95" s="291" t="str">
        <f t="shared" si="8"/>
        <v/>
      </c>
      <c r="J95" s="217"/>
      <c r="K95" s="218"/>
      <c r="L95" s="219"/>
      <c r="M95" s="220"/>
    </row>
    <row r="96" spans="2:13" ht="11.5" x14ac:dyDescent="0.25">
      <c r="B96" s="7" t="s">
        <v>324</v>
      </c>
      <c r="C96" s="352" t="s">
        <v>323</v>
      </c>
      <c r="D96" s="3" t="s">
        <v>197</v>
      </c>
      <c r="E96" s="3"/>
      <c r="F96" s="466">
        <v>12</v>
      </c>
      <c r="G96" s="171">
        <v>0</v>
      </c>
      <c r="H96" s="345">
        <f t="shared" si="8"/>
        <v>0</v>
      </c>
      <c r="J96" s="217"/>
      <c r="K96" s="218"/>
      <c r="L96" s="219"/>
      <c r="M96" s="220"/>
    </row>
    <row r="97" spans="2:13" ht="11.5" x14ac:dyDescent="0.25">
      <c r="B97" s="7"/>
      <c r="C97" s="352"/>
      <c r="D97" s="3"/>
      <c r="E97" s="3"/>
      <c r="F97" s="466"/>
      <c r="G97" s="412"/>
      <c r="H97" s="291"/>
      <c r="J97" s="217"/>
      <c r="K97" s="218"/>
      <c r="L97" s="219"/>
      <c r="M97" s="220"/>
    </row>
    <row r="98" spans="2:13" ht="11.5" x14ac:dyDescent="0.25">
      <c r="B98" s="7"/>
      <c r="C98" s="352"/>
      <c r="D98" s="3"/>
      <c r="E98" s="3"/>
      <c r="F98" s="3"/>
      <c r="G98" s="412"/>
      <c r="H98" s="291" t="str">
        <f t="shared" si="8"/>
        <v/>
      </c>
      <c r="J98" s="217"/>
      <c r="K98" s="218"/>
      <c r="L98" s="219"/>
      <c r="M98" s="220"/>
    </row>
    <row r="99" spans="2:13" ht="11.5" x14ac:dyDescent="0.25">
      <c r="B99" s="7" t="s">
        <v>326</v>
      </c>
      <c r="C99" s="352" t="s">
        <v>327</v>
      </c>
      <c r="D99" s="3"/>
      <c r="E99" s="3"/>
      <c r="F99" s="3"/>
      <c r="G99" s="412"/>
      <c r="H99" s="403" t="str">
        <f>IF(D99="","",F99*G99)</f>
        <v/>
      </c>
      <c r="J99" s="217"/>
      <c r="K99" s="218"/>
      <c r="L99" s="219"/>
      <c r="M99" s="220"/>
    </row>
    <row r="100" spans="2:13" ht="11.5" x14ac:dyDescent="0.25">
      <c r="B100" s="7"/>
      <c r="C100" s="352"/>
      <c r="D100" s="3"/>
      <c r="E100" s="3"/>
      <c r="F100" s="3"/>
      <c r="G100" s="412"/>
      <c r="H100" s="403"/>
      <c r="J100" s="217"/>
      <c r="K100" s="218"/>
      <c r="L100" s="219"/>
      <c r="M100" s="220"/>
    </row>
    <row r="101" spans="2:13" ht="11.5" x14ac:dyDescent="0.25">
      <c r="B101" s="7" t="s">
        <v>328</v>
      </c>
      <c r="C101" s="352" t="s">
        <v>329</v>
      </c>
      <c r="D101" s="3" t="s">
        <v>197</v>
      </c>
      <c r="E101" s="3"/>
      <c r="F101" s="3">
        <v>12</v>
      </c>
      <c r="G101" s="171">
        <v>0</v>
      </c>
      <c r="H101" s="345">
        <f t="shared" ref="H101" si="9">IF(D101="","",F101*G101)</f>
        <v>0</v>
      </c>
      <c r="J101" s="217"/>
      <c r="K101" s="218"/>
      <c r="L101" s="219"/>
      <c r="M101" s="220"/>
    </row>
    <row r="102" spans="2:13" ht="11.5" x14ac:dyDescent="0.25">
      <c r="B102" s="7"/>
      <c r="C102" s="467"/>
      <c r="D102" s="3"/>
      <c r="E102" s="3"/>
      <c r="F102" s="3"/>
      <c r="G102" s="412"/>
      <c r="H102" s="403"/>
      <c r="J102" s="217"/>
      <c r="K102" s="218"/>
      <c r="L102" s="219"/>
      <c r="M102" s="220"/>
    </row>
    <row r="103" spans="2:13" ht="11.5" x14ac:dyDescent="0.25">
      <c r="B103" s="7"/>
      <c r="C103" s="460"/>
      <c r="D103" s="3"/>
      <c r="E103" s="407"/>
      <c r="F103" s="423"/>
      <c r="G103" s="412"/>
      <c r="H103" s="291" t="str">
        <f t="shared" ref="H103:H109" si="10">IF(D103="","",F103*G103)</f>
        <v/>
      </c>
      <c r="J103" s="217"/>
      <c r="K103" s="218"/>
      <c r="L103" s="219"/>
      <c r="M103" s="220"/>
    </row>
    <row r="104" spans="2:13" ht="11.5" x14ac:dyDescent="0.25">
      <c r="B104" s="7" t="s">
        <v>330</v>
      </c>
      <c r="C104" s="460" t="s">
        <v>331</v>
      </c>
      <c r="D104" s="407"/>
      <c r="E104" s="407"/>
      <c r="F104" s="423"/>
      <c r="G104" s="412"/>
      <c r="H104" s="291" t="str">
        <f t="shared" si="10"/>
        <v/>
      </c>
      <c r="J104" s="217"/>
      <c r="K104" s="218"/>
      <c r="L104" s="219"/>
      <c r="M104" s="220"/>
    </row>
    <row r="105" spans="2:13" ht="11.5" x14ac:dyDescent="0.25">
      <c r="B105" s="7"/>
      <c r="C105" s="460"/>
      <c r="D105" s="407"/>
      <c r="E105" s="407"/>
      <c r="F105" s="423"/>
      <c r="G105" s="412"/>
      <c r="H105" s="291"/>
      <c r="J105" s="217"/>
      <c r="K105" s="218"/>
      <c r="L105" s="219"/>
      <c r="M105" s="220"/>
    </row>
    <row r="106" spans="2:13" ht="34.5" x14ac:dyDescent="0.25">
      <c r="B106" s="7" t="s">
        <v>332</v>
      </c>
      <c r="C106" s="460" t="s">
        <v>333</v>
      </c>
      <c r="D106" s="407" t="s">
        <v>244</v>
      </c>
      <c r="E106" s="407"/>
      <c r="F106" s="423">
        <v>1</v>
      </c>
      <c r="G106" s="171">
        <v>0</v>
      </c>
      <c r="H106" s="345">
        <f t="shared" ref="H106" si="11">IF(D106="","",F106*G106)</f>
        <v>0</v>
      </c>
      <c r="J106" s="217"/>
      <c r="K106" s="218"/>
      <c r="L106" s="219"/>
      <c r="M106" s="220"/>
    </row>
    <row r="107" spans="2:13" ht="11.5" x14ac:dyDescent="0.25">
      <c r="B107" s="7"/>
      <c r="C107" s="468"/>
      <c r="D107" s="407"/>
      <c r="E107" s="23"/>
      <c r="F107" s="423"/>
      <c r="G107" s="412"/>
      <c r="H107" s="291" t="str">
        <f t="shared" si="10"/>
        <v/>
      </c>
      <c r="J107" s="217"/>
      <c r="K107" s="53"/>
      <c r="L107" s="219"/>
      <c r="M107" s="220"/>
    </row>
    <row r="108" spans="2:13" ht="11.5" x14ac:dyDescent="0.25">
      <c r="B108" s="7"/>
      <c r="C108" s="460"/>
      <c r="D108" s="407"/>
      <c r="E108" s="407"/>
      <c r="F108" s="423"/>
      <c r="G108" s="412"/>
      <c r="H108" s="291" t="str">
        <f t="shared" si="10"/>
        <v/>
      </c>
      <c r="J108" s="217"/>
      <c r="K108" s="218"/>
      <c r="L108" s="219"/>
      <c r="M108" s="220"/>
    </row>
    <row r="109" spans="2:13" ht="34.5" x14ac:dyDescent="0.25">
      <c r="B109" s="7" t="s">
        <v>334</v>
      </c>
      <c r="C109" s="352" t="s">
        <v>335</v>
      </c>
      <c r="D109" s="3" t="s">
        <v>8</v>
      </c>
      <c r="E109" s="3"/>
      <c r="F109" s="3">
        <v>12</v>
      </c>
      <c r="G109" s="171">
        <v>0</v>
      </c>
      <c r="H109" s="345">
        <f t="shared" si="10"/>
        <v>0</v>
      </c>
      <c r="J109" s="217"/>
      <c r="K109" s="218"/>
      <c r="L109" s="219"/>
      <c r="M109" s="220"/>
    </row>
    <row r="110" spans="2:13" ht="11.5" x14ac:dyDescent="0.25">
      <c r="B110" s="7"/>
      <c r="C110" s="352"/>
      <c r="D110" s="3"/>
      <c r="E110" s="3"/>
      <c r="F110" s="3"/>
      <c r="G110" s="412"/>
      <c r="H110" s="291"/>
      <c r="J110" s="217"/>
      <c r="K110" s="218"/>
      <c r="L110" s="219"/>
      <c r="M110" s="220"/>
    </row>
    <row r="111" spans="2:13" ht="11.5" x14ac:dyDescent="0.25">
      <c r="B111" s="7"/>
      <c r="C111" s="430"/>
      <c r="D111" s="3"/>
      <c r="E111" s="1"/>
      <c r="F111" s="3"/>
      <c r="G111" s="420"/>
      <c r="H111" s="427" t="str">
        <f>IF(D111="","",F111*G111)</f>
        <v/>
      </c>
      <c r="J111" s="217"/>
      <c r="K111" s="218"/>
      <c r="L111" s="219"/>
      <c r="M111" s="220"/>
    </row>
    <row r="112" spans="2:13" ht="21" customHeight="1" x14ac:dyDescent="0.25">
      <c r="B112" s="29" t="s">
        <v>634</v>
      </c>
      <c r="C112" s="28" t="str">
        <f>"TOTAL CARRIED FORWARD"&amp;IF(H112=H$1," TO SUMMARY ")</f>
        <v xml:space="preserve">TOTAL CARRIED FORWARD TO SUMMARY </v>
      </c>
      <c r="D112" s="469"/>
      <c r="E112" s="469"/>
      <c r="F112" s="470"/>
      <c r="G112" s="471"/>
      <c r="H112" s="413">
        <f>SUM(H60:H111)</f>
        <v>130000</v>
      </c>
      <c r="J112" s="254"/>
      <c r="K112" s="254"/>
      <c r="L112" s="71"/>
    </row>
    <row r="113" spans="1:13" ht="5.25" customHeight="1" x14ac:dyDescent="0.25">
      <c r="L113" s="71"/>
    </row>
    <row r="114" spans="1:13" ht="12" customHeight="1" x14ac:dyDescent="0.25">
      <c r="A114" s="23"/>
      <c r="B114" s="63"/>
      <c r="C114" s="24"/>
      <c r="E114" s="753"/>
      <c r="F114" s="753"/>
      <c r="G114" s="753"/>
      <c r="H114" s="753"/>
      <c r="I114" s="26"/>
      <c r="L114" s="71"/>
    </row>
    <row r="115" spans="1:13" ht="12" customHeight="1" x14ac:dyDescent="0.25">
      <c r="A115" s="23"/>
      <c r="B115" s="64"/>
      <c r="C115" s="24"/>
      <c r="E115" s="25"/>
      <c r="G115" s="23"/>
      <c r="H115" s="26"/>
      <c r="I115" s="26"/>
      <c r="L115" s="71"/>
    </row>
    <row r="116" spans="1:13" ht="12" customHeight="1" x14ac:dyDescent="0.25">
      <c r="B116" s="377"/>
      <c r="L116" s="71"/>
    </row>
    <row r="117" spans="1:13" ht="12" customHeight="1" x14ac:dyDescent="0.25">
      <c r="A117" s="23"/>
      <c r="B117" s="63"/>
      <c r="C117" s="63"/>
      <c r="D117" s="61"/>
      <c r="E117" s="61"/>
      <c r="F117" s="753"/>
      <c r="G117" s="753"/>
      <c r="H117" s="753"/>
      <c r="I117" s="23"/>
      <c r="L117" s="71"/>
    </row>
    <row r="118" spans="1:13" ht="12" customHeight="1" x14ac:dyDescent="0.25">
      <c r="A118" s="23"/>
      <c r="B118" s="63"/>
      <c r="C118" s="63"/>
      <c r="D118" s="61"/>
      <c r="E118" s="61"/>
      <c r="F118" s="61"/>
      <c r="G118" s="35"/>
      <c r="H118" s="60"/>
      <c r="I118" s="23"/>
      <c r="L118" s="71"/>
    </row>
    <row r="119" spans="1:13" ht="12" customHeight="1" x14ac:dyDescent="0.25">
      <c r="B119" s="53"/>
      <c r="C119" s="472"/>
      <c r="D119" s="31"/>
      <c r="E119" s="472"/>
      <c r="F119" s="31"/>
      <c r="G119" s="472"/>
      <c r="H119" s="472"/>
      <c r="L119" s="71"/>
    </row>
    <row r="120" spans="1:13" ht="12" customHeight="1" x14ac:dyDescent="0.25">
      <c r="A120" s="390"/>
      <c r="B120" s="391"/>
      <c r="C120" s="10"/>
      <c r="D120" s="10"/>
      <c r="E120" s="10"/>
      <c r="F120" s="10"/>
      <c r="G120" s="10"/>
      <c r="H120" s="10"/>
      <c r="J120" s="159"/>
      <c r="K120" s="159"/>
      <c r="L120" s="307"/>
      <c r="M120" s="10"/>
    </row>
    <row r="121" spans="1:13" s="66" customFormat="1" ht="5.25" customHeight="1" x14ac:dyDescent="0.25">
      <c r="D121" s="25"/>
      <c r="E121" s="446"/>
      <c r="F121" s="447"/>
      <c r="G121" s="448"/>
      <c r="H121" s="473"/>
      <c r="J121" s="217"/>
      <c r="K121" s="218"/>
      <c r="L121" s="219"/>
      <c r="M121" s="220"/>
    </row>
    <row r="122" spans="1:13" s="66" customFormat="1" ht="12" customHeight="1" x14ac:dyDescent="0.25">
      <c r="D122" s="25"/>
      <c r="E122" s="446"/>
      <c r="F122" s="447"/>
      <c r="G122" s="448"/>
      <c r="H122" s="401"/>
      <c r="J122" s="217"/>
      <c r="K122" s="218"/>
      <c r="L122" s="219"/>
      <c r="M122" s="220"/>
    </row>
    <row r="123" spans="1:13" s="66" customFormat="1" ht="6" customHeight="1" x14ac:dyDescent="0.25">
      <c r="D123" s="25"/>
      <c r="E123" s="446"/>
      <c r="F123" s="447"/>
      <c r="G123" s="448"/>
      <c r="H123" s="473"/>
      <c r="J123" s="217"/>
      <c r="K123" s="218"/>
      <c r="L123" s="219"/>
      <c r="M123" s="220"/>
    </row>
    <row r="124" spans="1:13" ht="11.5" x14ac:dyDescent="0.25">
      <c r="B124" s="383"/>
      <c r="C124" s="474"/>
      <c r="D124" s="313"/>
      <c r="E124" s="312"/>
      <c r="F124" s="313"/>
      <c r="G124" s="410"/>
      <c r="H124" s="401"/>
      <c r="J124" s="217"/>
      <c r="K124" s="218"/>
      <c r="L124" s="219"/>
      <c r="M124" s="220"/>
    </row>
    <row r="125" spans="1:13" ht="11.5" x14ac:dyDescent="0.25">
      <c r="B125" s="383"/>
      <c r="C125" s="474"/>
      <c r="D125" s="313"/>
      <c r="E125" s="312"/>
      <c r="F125" s="313"/>
      <c r="G125" s="410"/>
      <c r="H125" s="401"/>
      <c r="J125" s="217"/>
      <c r="K125" s="218"/>
      <c r="L125" s="219"/>
      <c r="M125" s="220"/>
    </row>
    <row r="126" spans="1:13" ht="11.5" x14ac:dyDescent="0.25">
      <c r="B126" s="383"/>
      <c r="C126" s="474"/>
      <c r="D126" s="313"/>
      <c r="E126" s="312"/>
      <c r="F126" s="313"/>
      <c r="G126" s="410"/>
      <c r="H126" s="401"/>
      <c r="J126" s="217"/>
      <c r="K126" s="218"/>
      <c r="L126" s="219"/>
      <c r="M126" s="220"/>
    </row>
    <row r="127" spans="1:13" ht="11.5" x14ac:dyDescent="0.25">
      <c r="B127" s="383"/>
      <c r="C127" s="474"/>
      <c r="D127" s="313"/>
      <c r="E127" s="312"/>
      <c r="F127" s="313"/>
      <c r="G127" s="410"/>
      <c r="H127" s="401"/>
      <c r="J127" s="217"/>
      <c r="K127" s="218"/>
      <c r="L127" s="219"/>
      <c r="M127" s="220"/>
    </row>
    <row r="128" spans="1:13" ht="11.5" x14ac:dyDescent="0.25">
      <c r="B128" s="383"/>
      <c r="C128" s="474"/>
      <c r="D128" s="313"/>
      <c r="E128" s="312"/>
      <c r="F128" s="313"/>
      <c r="G128" s="410"/>
      <c r="H128" s="401"/>
      <c r="J128" s="217"/>
      <c r="K128" s="218"/>
      <c r="L128" s="219"/>
      <c r="M128" s="220"/>
    </row>
    <row r="129" spans="2:13" ht="11.5" x14ac:dyDescent="0.25">
      <c r="B129" s="383"/>
      <c r="C129" s="474"/>
      <c r="D129" s="313"/>
      <c r="E129" s="312"/>
      <c r="F129" s="313"/>
      <c r="G129" s="475"/>
      <c r="H129" s="401"/>
      <c r="J129" s="217"/>
      <c r="K129" s="218"/>
      <c r="L129" s="219"/>
      <c r="M129" s="220"/>
    </row>
    <row r="130" spans="2:13" ht="11.5" x14ac:dyDescent="0.25">
      <c r="B130" s="383"/>
      <c r="C130" s="474"/>
      <c r="D130" s="313"/>
      <c r="E130" s="312"/>
      <c r="F130" s="313"/>
      <c r="G130" s="410"/>
      <c r="H130" s="401"/>
      <c r="J130" s="217"/>
      <c r="K130" s="218"/>
      <c r="L130" s="219"/>
      <c r="M130" s="220"/>
    </row>
    <row r="131" spans="2:13" ht="11.5" x14ac:dyDescent="0.25">
      <c r="B131" s="383"/>
      <c r="C131" s="474"/>
      <c r="D131" s="313"/>
      <c r="E131" s="312"/>
      <c r="F131" s="313"/>
      <c r="G131" s="410"/>
      <c r="H131" s="476"/>
      <c r="J131" s="217"/>
      <c r="K131" s="218"/>
      <c r="L131" s="219"/>
      <c r="M131" s="220"/>
    </row>
    <row r="132" spans="2:13" ht="12" customHeight="1" x14ac:dyDescent="0.25">
      <c r="B132" s="383"/>
      <c r="C132" s="474"/>
      <c r="D132" s="313"/>
      <c r="E132" s="312"/>
      <c r="F132" s="313"/>
      <c r="G132" s="410"/>
      <c r="H132" s="401"/>
      <c r="J132" s="217"/>
      <c r="K132" s="218"/>
      <c r="L132" s="219"/>
      <c r="M132" s="220"/>
    </row>
    <row r="133" spans="2:13" ht="12" customHeight="1" x14ac:dyDescent="0.25">
      <c r="B133" s="383"/>
      <c r="C133" s="474"/>
      <c r="D133" s="313"/>
      <c r="E133" s="312"/>
      <c r="F133" s="313"/>
      <c r="G133" s="410"/>
      <c r="H133" s="401"/>
      <c r="J133" s="217"/>
      <c r="K133" s="218"/>
      <c r="L133" s="219"/>
      <c r="M133" s="220"/>
    </row>
    <row r="134" spans="2:13" ht="12" customHeight="1" x14ac:dyDescent="0.25">
      <c r="B134" s="383"/>
      <c r="C134" s="477"/>
      <c r="D134" s="313"/>
      <c r="E134" s="478"/>
      <c r="F134" s="313"/>
      <c r="G134" s="479"/>
      <c r="H134" s="479"/>
      <c r="J134" s="217"/>
      <c r="K134" s="218"/>
      <c r="L134" s="219"/>
      <c r="M134" s="220"/>
    </row>
    <row r="135" spans="2:13" ht="11.5" x14ac:dyDescent="0.25">
      <c r="B135" s="383"/>
      <c r="C135" s="474"/>
      <c r="D135" s="313"/>
      <c r="E135" s="312"/>
      <c r="F135" s="313"/>
      <c r="G135" s="410"/>
      <c r="H135" s="401"/>
      <c r="J135" s="217"/>
      <c r="K135" s="218"/>
      <c r="L135" s="219"/>
      <c r="M135" s="220"/>
    </row>
    <row r="136" spans="2:13" ht="12" customHeight="1" x14ac:dyDescent="0.25">
      <c r="B136" s="383"/>
      <c r="C136" s="480"/>
      <c r="D136" s="313"/>
      <c r="E136" s="481"/>
      <c r="F136" s="482"/>
      <c r="G136" s="410"/>
      <c r="H136" s="401"/>
      <c r="J136" s="218"/>
      <c r="K136" s="218"/>
      <c r="L136" s="219"/>
      <c r="M136" s="220"/>
    </row>
    <row r="137" spans="2:13" ht="11.5" x14ac:dyDescent="0.25">
      <c r="B137" s="383"/>
      <c r="C137" s="477"/>
      <c r="D137" s="313"/>
      <c r="E137" s="312"/>
      <c r="F137" s="313"/>
      <c r="G137" s="410"/>
      <c r="H137" s="401"/>
      <c r="J137" s="360"/>
      <c r="K137" s="218"/>
      <c r="L137" s="219"/>
      <c r="M137" s="220"/>
    </row>
    <row r="138" spans="2:13" ht="11.5" x14ac:dyDescent="0.25">
      <c r="B138" s="383"/>
      <c r="C138" s="477"/>
      <c r="D138" s="313"/>
      <c r="E138" s="312"/>
      <c r="F138" s="313"/>
      <c r="G138" s="410"/>
      <c r="H138" s="401"/>
      <c r="J138" s="217"/>
      <c r="K138" s="218"/>
      <c r="L138" s="219"/>
      <c r="M138" s="220"/>
    </row>
    <row r="139" spans="2:13" ht="11.5" x14ac:dyDescent="0.25">
      <c r="B139" s="383"/>
      <c r="C139" s="474"/>
      <c r="D139" s="313"/>
      <c r="E139" s="312"/>
      <c r="F139" s="313"/>
      <c r="G139" s="410"/>
      <c r="H139" s="401"/>
      <c r="J139" s="217"/>
      <c r="K139" s="218"/>
      <c r="L139" s="219"/>
      <c r="M139" s="220"/>
    </row>
    <row r="140" spans="2:13" ht="11.5" x14ac:dyDescent="0.25">
      <c r="B140" s="383"/>
      <c r="C140" s="474"/>
      <c r="D140" s="313"/>
      <c r="E140" s="312"/>
      <c r="F140" s="313"/>
      <c r="G140" s="410"/>
      <c r="H140" s="401"/>
      <c r="J140" s="217"/>
      <c r="K140" s="218"/>
      <c r="L140" s="219"/>
      <c r="M140" s="220"/>
    </row>
    <row r="141" spans="2:13" ht="11.5" x14ac:dyDescent="0.25">
      <c r="B141" s="383"/>
      <c r="C141" s="474"/>
      <c r="D141" s="313"/>
      <c r="E141" s="312"/>
      <c r="F141" s="313"/>
      <c r="G141" s="410"/>
      <c r="H141" s="401"/>
      <c r="J141" s="217"/>
      <c r="K141" s="218"/>
      <c r="L141" s="219"/>
      <c r="M141" s="220"/>
    </row>
    <row r="142" spans="2:13" ht="11.5" x14ac:dyDescent="0.25">
      <c r="B142" s="383"/>
      <c r="C142" s="477"/>
      <c r="D142" s="313"/>
      <c r="E142" s="312"/>
      <c r="F142" s="313"/>
      <c r="G142" s="410"/>
      <c r="H142" s="401"/>
      <c r="J142" s="217"/>
      <c r="K142" s="218"/>
      <c r="L142" s="219"/>
      <c r="M142" s="220"/>
    </row>
    <row r="143" spans="2:13" ht="11.5" x14ac:dyDescent="0.25">
      <c r="B143" s="383"/>
      <c r="C143" s="474"/>
      <c r="D143" s="313"/>
      <c r="E143" s="312"/>
      <c r="F143" s="483"/>
      <c r="G143" s="410"/>
      <c r="H143" s="401"/>
      <c r="J143" s="360"/>
      <c r="K143" s="218"/>
      <c r="L143" s="219"/>
      <c r="M143" s="220"/>
    </row>
    <row r="144" spans="2:13" ht="11.5" x14ac:dyDescent="0.25">
      <c r="B144" s="383"/>
      <c r="C144" s="477"/>
      <c r="D144" s="313"/>
      <c r="E144" s="312"/>
      <c r="F144" s="313"/>
      <c r="G144" s="410"/>
      <c r="H144" s="476"/>
      <c r="J144" s="217"/>
      <c r="K144" s="218"/>
      <c r="L144" s="219"/>
      <c r="M144" s="220"/>
    </row>
    <row r="145" spans="2:13" ht="11.5" x14ac:dyDescent="0.25">
      <c r="B145" s="383"/>
      <c r="C145" s="474"/>
      <c r="D145" s="313"/>
      <c r="E145" s="312"/>
      <c r="F145" s="483"/>
      <c r="G145" s="167"/>
      <c r="H145" s="401"/>
      <c r="J145" s="217"/>
      <c r="K145" s="218"/>
      <c r="L145" s="219"/>
      <c r="M145" s="220"/>
    </row>
    <row r="146" spans="2:13" ht="11.5" x14ac:dyDescent="0.25">
      <c r="B146" s="383"/>
      <c r="C146" s="477"/>
      <c r="D146" s="313"/>
      <c r="E146" s="312"/>
      <c r="F146" s="313"/>
      <c r="G146" s="410"/>
      <c r="H146" s="476"/>
      <c r="J146" s="217"/>
      <c r="K146" s="218"/>
      <c r="L146" s="219"/>
      <c r="M146" s="220"/>
    </row>
    <row r="147" spans="2:13" ht="11.5" x14ac:dyDescent="0.25">
      <c r="B147" s="383"/>
      <c r="C147" s="477"/>
      <c r="D147" s="313"/>
      <c r="E147" s="312"/>
      <c r="F147" s="313"/>
      <c r="G147" s="410"/>
      <c r="H147" s="401"/>
      <c r="J147" s="217"/>
      <c r="K147" s="218"/>
      <c r="L147" s="219"/>
      <c r="M147" s="220"/>
    </row>
    <row r="148" spans="2:13" ht="11.5" x14ac:dyDescent="0.25">
      <c r="B148" s="383"/>
      <c r="C148" s="477"/>
      <c r="D148" s="313"/>
      <c r="E148" s="312"/>
      <c r="F148" s="313"/>
      <c r="G148" s="410"/>
      <c r="H148" s="476"/>
      <c r="J148" s="217"/>
      <c r="K148" s="218"/>
      <c r="L148" s="219"/>
      <c r="M148" s="220"/>
    </row>
    <row r="149" spans="2:13" ht="11.5" x14ac:dyDescent="0.25">
      <c r="B149" s="383"/>
      <c r="C149" s="474"/>
      <c r="D149" s="313"/>
      <c r="E149" s="312"/>
      <c r="F149" s="313"/>
      <c r="G149" s="410"/>
      <c r="H149" s="401"/>
      <c r="J149" s="217"/>
      <c r="K149" s="218"/>
      <c r="L149" s="219"/>
      <c r="M149" s="220"/>
    </row>
    <row r="150" spans="2:13" ht="11.5" x14ac:dyDescent="0.25">
      <c r="B150" s="383"/>
      <c r="C150" s="474"/>
      <c r="D150" s="313"/>
      <c r="E150" s="312"/>
      <c r="F150" s="313"/>
      <c r="G150" s="410"/>
      <c r="H150" s="401"/>
      <c r="J150" s="217"/>
      <c r="K150" s="218"/>
      <c r="L150" s="219"/>
      <c r="M150" s="220"/>
    </row>
    <row r="151" spans="2:13" ht="11.5" x14ac:dyDescent="0.25">
      <c r="B151" s="383"/>
      <c r="C151" s="474"/>
      <c r="D151" s="313"/>
      <c r="E151" s="312"/>
      <c r="F151" s="313"/>
      <c r="G151" s="410"/>
      <c r="H151" s="401"/>
      <c r="J151" s="217"/>
      <c r="K151" s="218"/>
      <c r="L151" s="219"/>
      <c r="M151" s="220"/>
    </row>
    <row r="152" spans="2:13" ht="11.5" x14ac:dyDescent="0.25">
      <c r="B152" s="383"/>
      <c r="C152" s="477"/>
      <c r="D152" s="313"/>
      <c r="E152" s="312"/>
      <c r="F152" s="313"/>
      <c r="G152" s="410"/>
      <c r="H152" s="401"/>
      <c r="J152" s="217"/>
      <c r="K152" s="218"/>
      <c r="L152" s="219"/>
      <c r="M152" s="220"/>
    </row>
    <row r="153" spans="2:13" ht="11.5" x14ac:dyDescent="0.25">
      <c r="B153" s="383"/>
      <c r="C153" s="474"/>
      <c r="D153" s="313"/>
      <c r="E153" s="312"/>
      <c r="F153" s="313"/>
      <c r="G153" s="410"/>
      <c r="H153" s="401"/>
      <c r="J153" s="217"/>
      <c r="K153" s="218"/>
      <c r="L153" s="219"/>
      <c r="M153" s="220"/>
    </row>
    <row r="154" spans="2:13" ht="11.5" x14ac:dyDescent="0.25">
      <c r="B154" s="383"/>
      <c r="C154" s="477"/>
      <c r="D154" s="313"/>
      <c r="E154" s="312"/>
      <c r="F154" s="313"/>
      <c r="G154" s="410"/>
      <c r="H154" s="401"/>
      <c r="J154" s="217"/>
      <c r="K154" s="218"/>
      <c r="L154" s="219"/>
      <c r="M154" s="220"/>
    </row>
    <row r="155" spans="2:13" ht="11.5" x14ac:dyDescent="0.25">
      <c r="B155" s="383"/>
      <c r="C155" s="474"/>
      <c r="D155" s="313"/>
      <c r="E155" s="312"/>
      <c r="F155" s="313"/>
      <c r="G155" s="410"/>
      <c r="H155" s="401"/>
      <c r="J155" s="217"/>
      <c r="K155" s="218"/>
      <c r="L155" s="219"/>
      <c r="M155" s="220"/>
    </row>
    <row r="156" spans="2:13" ht="11.5" x14ac:dyDescent="0.25">
      <c r="B156" s="383"/>
      <c r="C156" s="474"/>
      <c r="D156" s="313"/>
      <c r="E156" s="312"/>
      <c r="F156" s="313"/>
      <c r="G156" s="410"/>
      <c r="H156" s="401"/>
      <c r="J156" s="217"/>
      <c r="K156" s="218"/>
      <c r="L156" s="219"/>
      <c r="M156" s="220"/>
    </row>
    <row r="157" spans="2:13" ht="11.5" x14ac:dyDescent="0.25">
      <c r="B157" s="383"/>
      <c r="C157" s="474"/>
      <c r="D157" s="313"/>
      <c r="E157" s="312"/>
      <c r="F157" s="313"/>
      <c r="G157" s="410"/>
      <c r="H157" s="401"/>
      <c r="J157" s="217"/>
      <c r="K157" s="218"/>
      <c r="L157" s="219"/>
      <c r="M157" s="220"/>
    </row>
    <row r="158" spans="2:13" ht="11.5" x14ac:dyDescent="0.25">
      <c r="B158" s="383"/>
      <c r="C158" s="474"/>
      <c r="D158" s="313"/>
      <c r="E158" s="312"/>
      <c r="F158" s="313"/>
      <c r="G158" s="410"/>
      <c r="H158" s="401"/>
      <c r="J158" s="217"/>
      <c r="K158" s="218"/>
      <c r="L158" s="219"/>
      <c r="M158" s="220"/>
    </row>
    <row r="159" spans="2:13" ht="12" customHeight="1" x14ac:dyDescent="0.25">
      <c r="B159" s="383"/>
      <c r="C159" s="474"/>
      <c r="D159" s="313"/>
      <c r="E159" s="312"/>
      <c r="F159" s="313"/>
      <c r="G159" s="410"/>
      <c r="H159" s="401"/>
      <c r="J159" s="217"/>
      <c r="K159" s="218"/>
      <c r="L159" s="219"/>
      <c r="M159" s="220"/>
    </row>
    <row r="160" spans="2:13" ht="11.5" x14ac:dyDescent="0.25">
      <c r="B160" s="383"/>
      <c r="C160" s="474"/>
      <c r="D160" s="313"/>
      <c r="E160" s="312"/>
      <c r="F160" s="313"/>
      <c r="G160" s="410"/>
      <c r="H160" s="401"/>
      <c r="J160" s="217"/>
      <c r="K160" s="218"/>
      <c r="L160" s="219"/>
      <c r="M160" s="220"/>
    </row>
    <row r="161" spans="1:13" ht="12" customHeight="1" x14ac:dyDescent="0.25">
      <c r="B161" s="383"/>
      <c r="C161" s="474"/>
      <c r="D161" s="313"/>
      <c r="E161" s="312"/>
      <c r="F161" s="313"/>
      <c r="G161" s="410"/>
      <c r="H161" s="401"/>
      <c r="J161" s="217"/>
      <c r="K161" s="218"/>
      <c r="L161" s="219"/>
      <c r="M161" s="220"/>
    </row>
    <row r="162" spans="1:13" ht="11.5" x14ac:dyDescent="0.25">
      <c r="B162" s="383"/>
      <c r="C162" s="474"/>
      <c r="D162" s="313"/>
      <c r="E162" s="312"/>
      <c r="F162" s="313"/>
      <c r="G162" s="410"/>
      <c r="H162" s="401"/>
      <c r="J162" s="217"/>
      <c r="K162" s="218"/>
      <c r="L162" s="219"/>
      <c r="M162" s="220"/>
    </row>
    <row r="163" spans="1:13" ht="11.5" x14ac:dyDescent="0.25">
      <c r="B163" s="383"/>
      <c r="C163" s="474"/>
      <c r="D163" s="313"/>
      <c r="E163" s="312"/>
      <c r="F163" s="313"/>
      <c r="G163" s="410"/>
      <c r="H163" s="401"/>
      <c r="J163" s="217"/>
      <c r="K163" s="218"/>
      <c r="L163" s="219"/>
      <c r="M163" s="220"/>
    </row>
    <row r="164" spans="1:13" ht="11.5" x14ac:dyDescent="0.25">
      <c r="B164" s="383"/>
      <c r="C164" s="474"/>
      <c r="D164" s="313"/>
      <c r="E164" s="312"/>
      <c r="F164" s="313"/>
      <c r="G164" s="410"/>
      <c r="H164" s="401"/>
      <c r="J164" s="217"/>
      <c r="K164" s="218"/>
      <c r="L164" s="219"/>
      <c r="M164" s="220"/>
    </row>
    <row r="165" spans="1:13" ht="6" customHeight="1" x14ac:dyDescent="0.25">
      <c r="B165" s="383"/>
      <c r="C165" s="477"/>
      <c r="D165" s="313"/>
      <c r="E165" s="478"/>
      <c r="F165" s="313"/>
      <c r="G165" s="479"/>
      <c r="H165" s="479"/>
      <c r="J165" s="217"/>
      <c r="K165" s="218"/>
      <c r="L165" s="219"/>
      <c r="M165" s="220"/>
    </row>
    <row r="166" spans="1:13" ht="21" customHeight="1" x14ac:dyDescent="0.25">
      <c r="B166" s="484"/>
      <c r="C166" s="35"/>
      <c r="D166" s="485"/>
      <c r="E166" s="485"/>
      <c r="F166" s="379"/>
      <c r="G166" s="486"/>
      <c r="H166" s="486"/>
      <c r="J166" s="254"/>
      <c r="K166" s="254"/>
      <c r="L166" s="71"/>
    </row>
    <row r="167" spans="1:13" ht="4.5" customHeight="1" x14ac:dyDescent="0.25">
      <c r="L167" s="71"/>
    </row>
    <row r="168" spans="1:13" ht="12" customHeight="1" x14ac:dyDescent="0.25">
      <c r="A168" s="23"/>
      <c r="B168" s="63"/>
      <c r="C168" s="24"/>
      <c r="E168" s="753"/>
      <c r="F168" s="753"/>
      <c r="G168" s="753"/>
      <c r="H168" s="753"/>
      <c r="I168" s="26"/>
      <c r="L168" s="71"/>
    </row>
    <row r="169" spans="1:13" ht="12" customHeight="1" x14ac:dyDescent="0.25">
      <c r="A169" s="23"/>
      <c r="B169" s="64"/>
      <c r="C169" s="24"/>
      <c r="E169" s="25"/>
      <c r="G169" s="23"/>
      <c r="H169" s="26"/>
      <c r="I169" s="26"/>
      <c r="L169" s="71"/>
    </row>
    <row r="170" spans="1:13" ht="12" customHeight="1" x14ac:dyDescent="0.25">
      <c r="B170" s="377"/>
      <c r="L170" s="71"/>
    </row>
    <row r="171" spans="1:13" ht="12" customHeight="1" x14ac:dyDescent="0.25">
      <c r="A171" s="23"/>
      <c r="B171" s="63"/>
      <c r="C171" s="63"/>
      <c r="D171" s="61"/>
      <c r="E171" s="61"/>
      <c r="F171" s="753"/>
      <c r="G171" s="753"/>
      <c r="H171" s="753"/>
      <c r="I171" s="23"/>
      <c r="L171" s="71"/>
    </row>
    <row r="172" spans="1:13" ht="12" customHeight="1" x14ac:dyDescent="0.25">
      <c r="A172" s="23"/>
      <c r="B172" s="63"/>
      <c r="C172" s="63"/>
      <c r="D172" s="61"/>
      <c r="E172" s="61"/>
      <c r="F172" s="61"/>
      <c r="G172" s="35"/>
      <c r="H172" s="60"/>
      <c r="I172" s="23"/>
      <c r="L172" s="71"/>
    </row>
    <row r="173" spans="1:13" ht="12" customHeight="1" x14ac:dyDescent="0.25">
      <c r="B173" s="53"/>
      <c r="C173" s="472"/>
      <c r="D173" s="31"/>
      <c r="E173" s="472"/>
      <c r="F173" s="31"/>
      <c r="G173" s="472"/>
      <c r="H173" s="472"/>
      <c r="L173" s="71"/>
    </row>
    <row r="174" spans="1:13" ht="12" customHeight="1" x14ac:dyDescent="0.25">
      <c r="A174" s="390"/>
      <c r="B174" s="391"/>
      <c r="C174" s="10"/>
      <c r="D174" s="10"/>
      <c r="E174" s="10"/>
      <c r="F174" s="10"/>
      <c r="G174" s="10"/>
      <c r="H174" s="10"/>
      <c r="J174" s="159"/>
      <c r="K174" s="159"/>
      <c r="L174" s="307"/>
      <c r="M174" s="10"/>
    </row>
    <row r="175" spans="1:13" s="66" customFormat="1" ht="5.25" customHeight="1" x14ac:dyDescent="0.25">
      <c r="D175" s="25"/>
      <c r="E175" s="446"/>
      <c r="F175" s="447"/>
      <c r="G175" s="448"/>
      <c r="H175" s="473"/>
      <c r="J175" s="217"/>
      <c r="K175" s="218"/>
      <c r="L175" s="219"/>
      <c r="M175" s="220"/>
    </row>
    <row r="176" spans="1:13" s="66" customFormat="1" ht="12" customHeight="1" x14ac:dyDescent="0.25">
      <c r="D176" s="25"/>
      <c r="E176" s="446"/>
      <c r="F176" s="447"/>
      <c r="G176" s="448"/>
      <c r="H176" s="401"/>
      <c r="J176" s="217"/>
      <c r="K176" s="218"/>
      <c r="L176" s="219"/>
      <c r="M176" s="220"/>
    </row>
    <row r="177" spans="2:13" s="66" customFormat="1" ht="6" customHeight="1" x14ac:dyDescent="0.25">
      <c r="D177" s="25"/>
      <c r="E177" s="446"/>
      <c r="F177" s="447"/>
      <c r="G177" s="448"/>
      <c r="H177" s="473"/>
      <c r="J177" s="217"/>
      <c r="K177" s="218"/>
      <c r="L177" s="219"/>
      <c r="M177" s="220"/>
    </row>
    <row r="178" spans="2:13" ht="11.5" x14ac:dyDescent="0.25">
      <c r="B178" s="383"/>
      <c r="C178" s="477"/>
      <c r="D178" s="313"/>
      <c r="E178" s="312"/>
      <c r="F178" s="313"/>
      <c r="G178" s="410"/>
      <c r="H178" s="401"/>
      <c r="J178" s="217"/>
      <c r="K178" s="218"/>
      <c r="L178" s="219"/>
      <c r="M178" s="220"/>
    </row>
    <row r="179" spans="2:13" ht="11.5" x14ac:dyDescent="0.25">
      <c r="B179" s="383"/>
      <c r="C179" s="477"/>
      <c r="D179" s="313"/>
      <c r="E179" s="312"/>
      <c r="F179" s="313"/>
      <c r="G179" s="410"/>
      <c r="H179" s="401"/>
      <c r="J179" s="217"/>
      <c r="K179" s="218"/>
      <c r="L179" s="219"/>
      <c r="M179" s="220"/>
    </row>
    <row r="180" spans="2:13" ht="11.5" x14ac:dyDescent="0.25">
      <c r="B180" s="383"/>
      <c r="C180" s="474"/>
      <c r="D180" s="313"/>
      <c r="E180" s="312"/>
      <c r="F180" s="313"/>
      <c r="G180" s="410"/>
      <c r="H180" s="401"/>
      <c r="J180" s="217"/>
      <c r="K180" s="218"/>
      <c r="L180" s="219"/>
      <c r="M180" s="220"/>
    </row>
    <row r="181" spans="2:13" ht="11.5" x14ac:dyDescent="0.25">
      <c r="B181" s="383"/>
      <c r="C181" s="477"/>
      <c r="D181" s="313"/>
      <c r="E181" s="312"/>
      <c r="F181" s="313"/>
      <c r="G181" s="410"/>
      <c r="H181" s="401"/>
      <c r="J181" s="217"/>
      <c r="K181" s="218"/>
      <c r="L181" s="219"/>
      <c r="M181" s="220"/>
    </row>
    <row r="182" spans="2:13" ht="11.5" x14ac:dyDescent="0.25">
      <c r="B182" s="383"/>
      <c r="C182" s="477"/>
      <c r="D182" s="313"/>
      <c r="E182" s="312"/>
      <c r="F182" s="313"/>
      <c r="G182" s="410"/>
      <c r="H182" s="401"/>
      <c r="J182" s="217"/>
      <c r="K182" s="218"/>
      <c r="L182" s="219"/>
      <c r="M182" s="220"/>
    </row>
    <row r="183" spans="2:13" ht="11.5" x14ac:dyDescent="0.25">
      <c r="B183" s="383"/>
      <c r="C183" s="474"/>
      <c r="D183" s="313"/>
      <c r="E183" s="312"/>
      <c r="F183" s="313"/>
      <c r="G183" s="410"/>
      <c r="H183" s="401"/>
      <c r="J183" s="217"/>
      <c r="K183" s="218"/>
      <c r="L183" s="219"/>
      <c r="M183" s="220"/>
    </row>
    <row r="184" spans="2:13" ht="11.5" x14ac:dyDescent="0.25">
      <c r="B184" s="383"/>
      <c r="C184" s="477"/>
      <c r="D184" s="313"/>
      <c r="E184" s="312"/>
      <c r="F184" s="313"/>
      <c r="G184" s="410"/>
      <c r="H184" s="476"/>
      <c r="J184" s="217"/>
      <c r="K184" s="218"/>
      <c r="L184" s="219"/>
      <c r="M184" s="220"/>
    </row>
    <row r="185" spans="2:13" ht="11.5" x14ac:dyDescent="0.25">
      <c r="B185" s="383"/>
      <c r="C185" s="474"/>
      <c r="D185" s="313"/>
      <c r="E185" s="312"/>
      <c r="F185" s="313"/>
      <c r="G185" s="410"/>
      <c r="H185" s="401"/>
      <c r="J185" s="217"/>
      <c r="K185" s="218"/>
      <c r="L185" s="219"/>
      <c r="M185" s="220"/>
    </row>
    <row r="186" spans="2:13" ht="11.5" x14ac:dyDescent="0.25">
      <c r="B186" s="383"/>
      <c r="C186" s="477"/>
      <c r="D186" s="313"/>
      <c r="E186" s="312"/>
      <c r="F186" s="313"/>
      <c r="G186" s="410"/>
      <c r="H186" s="476"/>
      <c r="J186" s="217"/>
      <c r="K186" s="218"/>
      <c r="L186" s="219"/>
      <c r="M186" s="220"/>
    </row>
    <row r="187" spans="2:13" ht="11.5" x14ac:dyDescent="0.25">
      <c r="B187" s="383"/>
      <c r="C187" s="477"/>
      <c r="D187" s="313"/>
      <c r="E187" s="312"/>
      <c r="F187" s="313"/>
      <c r="G187" s="410"/>
      <c r="H187" s="401"/>
      <c r="J187" s="217"/>
      <c r="K187" s="218"/>
      <c r="L187" s="219"/>
      <c r="M187" s="220"/>
    </row>
    <row r="188" spans="2:13" ht="11.5" x14ac:dyDescent="0.25">
      <c r="B188" s="383"/>
      <c r="C188" s="474"/>
      <c r="D188" s="313"/>
      <c r="E188" s="312"/>
      <c r="F188" s="313"/>
      <c r="G188" s="410"/>
      <c r="H188" s="401"/>
      <c r="J188" s="217"/>
      <c r="K188" s="218"/>
      <c r="L188" s="219"/>
      <c r="M188" s="220"/>
    </row>
    <row r="189" spans="2:13" ht="11.5" x14ac:dyDescent="0.25">
      <c r="B189" s="383"/>
      <c r="C189" s="474"/>
      <c r="D189" s="313"/>
      <c r="E189" s="312"/>
      <c r="F189" s="483"/>
      <c r="G189" s="410"/>
      <c r="H189" s="401"/>
      <c r="J189" s="217"/>
      <c r="K189" s="218"/>
      <c r="L189" s="219"/>
      <c r="M189" s="220"/>
    </row>
    <row r="190" spans="2:13" ht="11.5" x14ac:dyDescent="0.25">
      <c r="B190" s="383"/>
      <c r="C190" s="477"/>
      <c r="D190" s="313"/>
      <c r="E190" s="312"/>
      <c r="F190" s="313"/>
      <c r="G190" s="410"/>
      <c r="H190" s="476"/>
      <c r="J190" s="217"/>
      <c r="K190" s="218"/>
      <c r="L190" s="219"/>
      <c r="M190" s="220"/>
    </row>
    <row r="191" spans="2:13" ht="11.5" x14ac:dyDescent="0.25">
      <c r="B191" s="383"/>
      <c r="C191" s="474"/>
      <c r="D191" s="313"/>
      <c r="E191" s="312"/>
      <c r="F191" s="483"/>
      <c r="G191" s="167"/>
      <c r="H191" s="401"/>
      <c r="J191" s="217"/>
      <c r="K191" s="218"/>
      <c r="L191" s="219"/>
      <c r="M191" s="220"/>
    </row>
    <row r="192" spans="2:13" ht="11.5" x14ac:dyDescent="0.25">
      <c r="B192" s="383"/>
      <c r="C192" s="474"/>
      <c r="D192" s="313"/>
      <c r="E192" s="312"/>
      <c r="F192" s="313"/>
      <c r="G192" s="410"/>
      <c r="H192" s="401"/>
      <c r="J192" s="217"/>
      <c r="K192" s="218"/>
      <c r="L192" s="219"/>
      <c r="M192" s="220"/>
    </row>
    <row r="193" spans="2:13" ht="11.5" x14ac:dyDescent="0.25">
      <c r="B193" s="487"/>
      <c r="C193" s="477"/>
      <c r="D193" s="313"/>
      <c r="E193" s="312"/>
      <c r="F193" s="313"/>
      <c r="G193" s="410"/>
      <c r="H193" s="401"/>
      <c r="J193" s="217"/>
      <c r="K193" s="218"/>
      <c r="L193" s="219"/>
      <c r="M193" s="220"/>
    </row>
    <row r="194" spans="2:13" ht="11.5" x14ac:dyDescent="0.25">
      <c r="B194" s="383"/>
      <c r="C194" s="474"/>
      <c r="D194" s="313"/>
      <c r="E194" s="312"/>
      <c r="F194" s="313"/>
      <c r="G194" s="410"/>
      <c r="H194" s="401"/>
      <c r="J194" s="217"/>
      <c r="K194" s="218"/>
      <c r="L194" s="219"/>
      <c r="M194" s="220"/>
    </row>
    <row r="195" spans="2:13" ht="11.5" x14ac:dyDescent="0.25">
      <c r="B195" s="383"/>
      <c r="C195" s="474"/>
      <c r="D195" s="313"/>
      <c r="E195" s="312"/>
      <c r="F195" s="313"/>
      <c r="G195" s="410"/>
      <c r="H195" s="401"/>
      <c r="J195" s="217"/>
      <c r="K195" s="218"/>
      <c r="L195" s="219"/>
      <c r="M195" s="220"/>
    </row>
    <row r="196" spans="2:13" ht="11.5" x14ac:dyDescent="0.25">
      <c r="B196" s="383"/>
      <c r="C196" s="477"/>
      <c r="D196" s="313"/>
      <c r="E196" s="312"/>
      <c r="F196" s="313"/>
      <c r="G196" s="410"/>
      <c r="H196" s="476"/>
      <c r="J196" s="217"/>
      <c r="K196" s="218"/>
      <c r="L196" s="219"/>
      <c r="M196" s="220"/>
    </row>
    <row r="197" spans="2:13" ht="11.5" x14ac:dyDescent="0.25">
      <c r="B197" s="383"/>
      <c r="C197" s="474"/>
      <c r="D197" s="313"/>
      <c r="E197" s="312"/>
      <c r="F197" s="313"/>
      <c r="G197" s="410"/>
      <c r="H197" s="401"/>
      <c r="J197" s="217"/>
      <c r="K197" s="218"/>
      <c r="L197" s="219"/>
      <c r="M197" s="220"/>
    </row>
    <row r="198" spans="2:13" ht="11.5" x14ac:dyDescent="0.25">
      <c r="B198" s="383"/>
      <c r="C198" s="474"/>
      <c r="D198" s="313"/>
      <c r="E198" s="312"/>
      <c r="F198" s="313"/>
      <c r="G198" s="410"/>
      <c r="H198" s="401"/>
      <c r="J198" s="217"/>
      <c r="K198" s="218"/>
      <c r="L198" s="219"/>
      <c r="M198" s="220"/>
    </row>
    <row r="199" spans="2:13" ht="11.5" x14ac:dyDescent="0.25">
      <c r="B199" s="383"/>
      <c r="C199" s="474"/>
      <c r="D199" s="313"/>
      <c r="E199" s="312"/>
      <c r="F199" s="313"/>
      <c r="G199" s="410"/>
      <c r="H199" s="401"/>
      <c r="J199" s="217"/>
      <c r="K199" s="218"/>
      <c r="L199" s="219"/>
      <c r="M199" s="220"/>
    </row>
    <row r="200" spans="2:13" ht="11.5" x14ac:dyDescent="0.25">
      <c r="B200" s="383"/>
      <c r="C200" s="477"/>
      <c r="D200" s="313"/>
      <c r="E200" s="312"/>
      <c r="F200" s="313"/>
      <c r="G200" s="410"/>
      <c r="H200" s="476"/>
      <c r="J200" s="217"/>
      <c r="K200" s="218"/>
      <c r="L200" s="219"/>
      <c r="M200" s="220"/>
    </row>
    <row r="201" spans="2:13" ht="11.5" x14ac:dyDescent="0.25">
      <c r="B201" s="383"/>
      <c r="C201" s="474"/>
      <c r="D201" s="313"/>
      <c r="E201" s="312"/>
      <c r="F201" s="313"/>
      <c r="G201" s="410"/>
      <c r="H201" s="401"/>
      <c r="J201" s="217"/>
      <c r="K201" s="218"/>
      <c r="L201" s="219"/>
      <c r="M201" s="220"/>
    </row>
    <row r="202" spans="2:13" ht="11.5" x14ac:dyDescent="0.25">
      <c r="B202" s="383"/>
      <c r="C202" s="477"/>
      <c r="D202" s="313"/>
      <c r="E202" s="312"/>
      <c r="F202" s="313"/>
      <c r="G202" s="410"/>
      <c r="H202" s="401"/>
      <c r="J202" s="217"/>
      <c r="K202" s="218"/>
      <c r="L202" s="219"/>
      <c r="M202" s="220"/>
    </row>
    <row r="203" spans="2:13" ht="11.5" x14ac:dyDescent="0.25">
      <c r="B203" s="383"/>
      <c r="C203" s="474"/>
      <c r="D203" s="313"/>
      <c r="E203" s="312"/>
      <c r="F203" s="313"/>
      <c r="G203" s="410"/>
      <c r="H203" s="401"/>
      <c r="J203" s="217"/>
      <c r="K203" s="218"/>
      <c r="L203" s="219"/>
      <c r="M203" s="220"/>
    </row>
    <row r="204" spans="2:13" ht="11.5" x14ac:dyDescent="0.25">
      <c r="B204" s="383"/>
      <c r="C204" s="477"/>
      <c r="D204" s="313"/>
      <c r="E204" s="312"/>
      <c r="F204" s="313"/>
      <c r="G204" s="410"/>
      <c r="H204" s="401"/>
      <c r="J204" s="217"/>
      <c r="K204" s="218"/>
      <c r="L204" s="219"/>
      <c r="M204" s="220"/>
    </row>
    <row r="205" spans="2:13" ht="11.5" x14ac:dyDescent="0.25">
      <c r="B205" s="383"/>
      <c r="C205" s="474"/>
      <c r="D205" s="313"/>
      <c r="E205" s="312"/>
      <c r="F205" s="313"/>
      <c r="G205" s="410"/>
      <c r="H205" s="401"/>
      <c r="J205" s="217"/>
      <c r="K205" s="218"/>
      <c r="L205" s="219"/>
      <c r="M205" s="220"/>
    </row>
    <row r="206" spans="2:13" ht="11.5" x14ac:dyDescent="0.25">
      <c r="B206" s="383"/>
      <c r="C206" s="474"/>
      <c r="D206" s="313"/>
      <c r="E206" s="312"/>
      <c r="F206" s="313"/>
      <c r="G206" s="410"/>
      <c r="H206" s="401"/>
      <c r="J206" s="217"/>
      <c r="K206" s="218"/>
      <c r="L206" s="219"/>
      <c r="M206" s="220"/>
    </row>
    <row r="207" spans="2:13" ht="11.5" x14ac:dyDescent="0.25">
      <c r="B207" s="383"/>
      <c r="C207" s="474"/>
      <c r="D207" s="313"/>
      <c r="E207" s="312"/>
      <c r="F207" s="313"/>
      <c r="G207" s="410"/>
      <c r="H207" s="401"/>
      <c r="J207" s="217"/>
      <c r="K207" s="218"/>
      <c r="L207" s="219"/>
      <c r="M207" s="220"/>
    </row>
    <row r="208" spans="2:13" ht="11.5" x14ac:dyDescent="0.25">
      <c r="B208" s="383"/>
      <c r="C208" s="474"/>
      <c r="D208" s="313"/>
      <c r="E208" s="312"/>
      <c r="F208" s="313"/>
      <c r="G208" s="410"/>
      <c r="H208" s="401"/>
      <c r="J208" s="217"/>
      <c r="K208" s="218"/>
      <c r="L208" s="219"/>
      <c r="M208" s="220"/>
    </row>
    <row r="209" spans="2:13" ht="11.5" x14ac:dyDescent="0.25">
      <c r="B209" s="383"/>
      <c r="C209" s="474"/>
      <c r="D209" s="313"/>
      <c r="E209" s="312"/>
      <c r="F209" s="313"/>
      <c r="G209" s="410"/>
      <c r="H209" s="401"/>
      <c r="J209" s="217"/>
      <c r="K209" s="218"/>
      <c r="L209" s="219"/>
      <c r="M209" s="220"/>
    </row>
    <row r="210" spans="2:13" ht="11.5" x14ac:dyDescent="0.25">
      <c r="B210" s="383"/>
      <c r="C210" s="474"/>
      <c r="D210" s="313"/>
      <c r="E210" s="312"/>
      <c r="F210" s="313"/>
      <c r="G210" s="410"/>
      <c r="H210" s="401"/>
      <c r="J210" s="217"/>
      <c r="K210" s="218"/>
      <c r="L210" s="219"/>
      <c r="M210" s="220"/>
    </row>
    <row r="211" spans="2:13" ht="11.5" x14ac:dyDescent="0.25">
      <c r="B211" s="383"/>
      <c r="C211" s="474"/>
      <c r="D211" s="313"/>
      <c r="E211" s="312"/>
      <c r="F211" s="313"/>
      <c r="G211" s="410"/>
      <c r="H211" s="401"/>
      <c r="J211" s="217"/>
      <c r="K211" s="218"/>
      <c r="L211" s="219"/>
      <c r="M211" s="220"/>
    </row>
    <row r="212" spans="2:13" ht="11.5" x14ac:dyDescent="0.25">
      <c r="B212" s="383"/>
      <c r="C212" s="474"/>
      <c r="D212" s="313"/>
      <c r="E212" s="312"/>
      <c r="F212" s="313"/>
      <c r="G212" s="410"/>
      <c r="H212" s="401"/>
      <c r="J212" s="217"/>
      <c r="K212" s="218"/>
      <c r="L212" s="219"/>
      <c r="M212" s="220"/>
    </row>
    <row r="213" spans="2:13" ht="11.5" x14ac:dyDescent="0.25">
      <c r="B213" s="383"/>
      <c r="C213" s="474"/>
      <c r="D213" s="313"/>
      <c r="E213" s="312"/>
      <c r="F213" s="313"/>
      <c r="G213" s="410"/>
      <c r="H213" s="401"/>
      <c r="J213" s="217"/>
      <c r="K213" s="218"/>
      <c r="L213" s="219"/>
      <c r="M213" s="220"/>
    </row>
    <row r="214" spans="2:13" ht="11.5" x14ac:dyDescent="0.25">
      <c r="B214" s="383"/>
      <c r="C214" s="474"/>
      <c r="D214" s="313"/>
      <c r="E214" s="312"/>
      <c r="F214" s="313"/>
      <c r="G214" s="410"/>
      <c r="H214" s="401"/>
      <c r="J214" s="217"/>
      <c r="K214" s="218"/>
      <c r="L214" s="219"/>
      <c r="M214" s="220"/>
    </row>
    <row r="215" spans="2:13" ht="11.5" x14ac:dyDescent="0.25">
      <c r="B215" s="383"/>
      <c r="C215" s="474"/>
      <c r="D215" s="313"/>
      <c r="E215" s="312"/>
      <c r="F215" s="313"/>
      <c r="G215" s="410"/>
      <c r="H215" s="401"/>
      <c r="J215" s="217"/>
      <c r="K215" s="218"/>
      <c r="L215" s="219"/>
      <c r="M215" s="220"/>
    </row>
    <row r="216" spans="2:13" ht="11.5" x14ac:dyDescent="0.25">
      <c r="B216" s="383"/>
      <c r="C216" s="474"/>
      <c r="D216" s="313"/>
      <c r="E216" s="312"/>
      <c r="F216" s="313"/>
      <c r="G216" s="410"/>
      <c r="H216" s="401"/>
      <c r="J216" s="217"/>
      <c r="K216" s="218"/>
      <c r="L216" s="219"/>
      <c r="M216" s="220"/>
    </row>
    <row r="217" spans="2:13" ht="11.5" x14ac:dyDescent="0.25">
      <c r="B217" s="383"/>
      <c r="C217" s="474"/>
      <c r="D217" s="313"/>
      <c r="E217" s="312"/>
      <c r="F217" s="313"/>
      <c r="G217" s="410"/>
      <c r="H217" s="401"/>
      <c r="J217" s="217"/>
      <c r="K217" s="218"/>
      <c r="L217" s="219"/>
      <c r="M217" s="220"/>
    </row>
    <row r="218" spans="2:13" ht="11.5" x14ac:dyDescent="0.25">
      <c r="B218" s="383"/>
      <c r="C218" s="474"/>
      <c r="D218" s="313"/>
      <c r="E218" s="312"/>
      <c r="F218" s="313"/>
      <c r="G218" s="410"/>
      <c r="H218" s="401"/>
      <c r="J218" s="217"/>
      <c r="K218" s="218"/>
      <c r="L218" s="219"/>
      <c r="M218" s="220"/>
    </row>
    <row r="219" spans="2:13" ht="11.5" x14ac:dyDescent="0.25">
      <c r="B219" s="383"/>
      <c r="C219" s="474"/>
      <c r="D219" s="313"/>
      <c r="E219" s="312"/>
      <c r="F219" s="313"/>
      <c r="G219" s="410"/>
      <c r="H219" s="401"/>
      <c r="J219" s="217"/>
      <c r="K219" s="218"/>
      <c r="L219" s="219"/>
      <c r="M219" s="220"/>
    </row>
    <row r="220" spans="2:13" ht="11.5" x14ac:dyDescent="0.25">
      <c r="B220" s="383"/>
      <c r="C220" s="474"/>
      <c r="D220" s="313"/>
      <c r="E220" s="312"/>
      <c r="F220" s="313"/>
      <c r="G220" s="410"/>
      <c r="H220" s="401"/>
      <c r="J220" s="217"/>
      <c r="K220" s="218"/>
      <c r="L220" s="219"/>
      <c r="M220" s="220"/>
    </row>
    <row r="221" spans="2:13" ht="11.5" x14ac:dyDescent="0.25">
      <c r="B221" s="383"/>
      <c r="C221" s="474"/>
      <c r="D221" s="313"/>
      <c r="E221" s="312"/>
      <c r="F221" s="313"/>
      <c r="G221" s="410"/>
      <c r="H221" s="401"/>
      <c r="J221" s="217"/>
      <c r="K221" s="218"/>
      <c r="L221" s="219"/>
      <c r="M221" s="220"/>
    </row>
    <row r="222" spans="2:13" ht="11.5" x14ac:dyDescent="0.25">
      <c r="B222" s="383"/>
      <c r="C222" s="474"/>
      <c r="D222" s="313"/>
      <c r="E222" s="312"/>
      <c r="F222" s="313"/>
      <c r="G222" s="410"/>
      <c r="H222" s="401"/>
      <c r="J222" s="217"/>
      <c r="K222" s="218"/>
      <c r="L222" s="219"/>
      <c r="M222" s="220"/>
    </row>
    <row r="223" spans="2:13" ht="11.5" x14ac:dyDescent="0.25">
      <c r="B223" s="383"/>
      <c r="C223" s="474"/>
      <c r="D223" s="313"/>
      <c r="E223" s="312"/>
      <c r="F223" s="313"/>
      <c r="G223" s="410"/>
      <c r="H223" s="401"/>
      <c r="J223" s="217"/>
      <c r="K223" s="218"/>
      <c r="L223" s="219"/>
      <c r="M223" s="220"/>
    </row>
    <row r="224" spans="2:13" ht="11.5" x14ac:dyDescent="0.25">
      <c r="B224" s="383"/>
      <c r="C224" s="474"/>
      <c r="D224" s="313"/>
      <c r="E224" s="312"/>
      <c r="F224" s="313"/>
      <c r="G224" s="410"/>
      <c r="H224" s="401"/>
      <c r="J224" s="217"/>
      <c r="K224" s="218"/>
      <c r="L224" s="219"/>
      <c r="M224" s="220"/>
    </row>
    <row r="225" spans="2:13" ht="11.5" x14ac:dyDescent="0.25">
      <c r="B225" s="383"/>
      <c r="C225" s="474"/>
      <c r="D225" s="313"/>
      <c r="E225" s="312"/>
      <c r="F225" s="313"/>
      <c r="G225" s="410"/>
      <c r="H225" s="401"/>
      <c r="J225" s="217"/>
      <c r="K225" s="218"/>
      <c r="L225" s="219"/>
      <c r="M225" s="220"/>
    </row>
    <row r="226" spans="2:13" ht="11.5" x14ac:dyDescent="0.25">
      <c r="B226" s="383"/>
      <c r="C226" s="474"/>
      <c r="D226" s="313"/>
      <c r="E226" s="312"/>
      <c r="F226" s="313"/>
      <c r="G226" s="410"/>
      <c r="H226" s="401"/>
      <c r="J226" s="217"/>
      <c r="K226" s="218"/>
      <c r="L226" s="219"/>
      <c r="M226" s="220"/>
    </row>
    <row r="227" spans="2:13" ht="11.5" x14ac:dyDescent="0.25">
      <c r="B227" s="383"/>
      <c r="C227" s="474"/>
      <c r="D227" s="313"/>
      <c r="E227" s="312"/>
      <c r="F227" s="313"/>
      <c r="G227" s="410"/>
      <c r="H227" s="401"/>
      <c r="J227" s="217"/>
      <c r="K227" s="218"/>
      <c r="L227" s="219"/>
      <c r="M227" s="220"/>
    </row>
    <row r="228" spans="2:13" ht="11.5" x14ac:dyDescent="0.25">
      <c r="B228" s="383"/>
      <c r="C228" s="474"/>
      <c r="D228" s="313"/>
      <c r="E228" s="312"/>
      <c r="F228" s="313"/>
      <c r="G228" s="410"/>
      <c r="H228" s="401"/>
      <c r="J228" s="217"/>
      <c r="K228" s="218"/>
      <c r="L228" s="219"/>
      <c r="M228" s="220"/>
    </row>
    <row r="229" spans="2:13" ht="11.5" x14ac:dyDescent="0.25">
      <c r="B229" s="383"/>
      <c r="C229" s="474"/>
      <c r="D229" s="313"/>
      <c r="E229" s="312"/>
      <c r="F229" s="313"/>
      <c r="G229" s="410"/>
      <c r="H229" s="401"/>
      <c r="J229" s="217"/>
      <c r="K229" s="218"/>
      <c r="L229" s="219"/>
      <c r="M229" s="220"/>
    </row>
    <row r="230" spans="2:13" ht="11.5" x14ac:dyDescent="0.25">
      <c r="B230" s="383"/>
      <c r="C230" s="474"/>
      <c r="D230" s="313"/>
      <c r="E230" s="312"/>
      <c r="F230" s="313"/>
      <c r="G230" s="410"/>
      <c r="H230" s="401"/>
      <c r="J230" s="217"/>
      <c r="K230" s="218"/>
      <c r="L230" s="219"/>
      <c r="M230" s="220"/>
    </row>
    <row r="231" spans="2:13" ht="11.5" x14ac:dyDescent="0.25">
      <c r="B231" s="383"/>
      <c r="C231" s="474"/>
      <c r="D231" s="313"/>
      <c r="E231" s="312"/>
      <c r="F231" s="313"/>
      <c r="G231" s="410"/>
      <c r="H231" s="401"/>
      <c r="J231" s="217"/>
      <c r="K231" s="218"/>
      <c r="L231" s="219"/>
      <c r="M231" s="220"/>
    </row>
    <row r="232" spans="2:13" ht="12" customHeight="1" x14ac:dyDescent="0.25">
      <c r="B232" s="383"/>
      <c r="C232" s="477"/>
      <c r="D232" s="313"/>
      <c r="E232" s="478"/>
      <c r="F232" s="313"/>
      <c r="G232" s="479"/>
      <c r="H232" s="479"/>
      <c r="J232" s="217"/>
      <c r="K232" s="218"/>
      <c r="L232" s="219"/>
      <c r="M232" s="220"/>
    </row>
    <row r="233" spans="2:13" ht="21" customHeight="1" x14ac:dyDescent="0.25">
      <c r="B233" s="484"/>
      <c r="C233" s="35"/>
      <c r="D233" s="485"/>
      <c r="E233" s="485"/>
      <c r="F233" s="379"/>
      <c r="G233" s="486"/>
      <c r="H233" s="486"/>
      <c r="J233" s="254"/>
      <c r="K233" s="254"/>
    </row>
    <row r="235" spans="2:13" ht="12" customHeight="1" x14ac:dyDescent="0.25">
      <c r="G235" s="488"/>
    </row>
  </sheetData>
  <sheetProtection algorithmName="SHA-512" hashValue="+csJj4Oo7JUwp4PDtQCJYzdvHEhupxlFvj8rQu2Y872MIZisJOa7lCXE8/8HfL1maQCLo4E1khK4V7cLZhJi/A==" saltValue="/SXcAuszGWsDXjL5kmF92w==" spinCount="100000" sheet="1" objects="1" scenarios="1"/>
  <mergeCells count="10">
    <mergeCell ref="F3:H3"/>
    <mergeCell ref="E114:H114"/>
    <mergeCell ref="E168:H168"/>
    <mergeCell ref="F171:H171"/>
    <mergeCell ref="F117:H117"/>
    <mergeCell ref="F6:H6"/>
    <mergeCell ref="E53:H53"/>
    <mergeCell ref="F56:H56"/>
    <mergeCell ref="B7:H7"/>
    <mergeCell ref="B57:H58"/>
  </mergeCells>
  <conditionalFormatting sqref="F79">
    <cfRule type="cellIs" dxfId="158" priority="70" stopIfTrue="1" operator="lessThan">
      <formula>0.005</formula>
    </cfRule>
  </conditionalFormatting>
  <conditionalFormatting sqref="F83">
    <cfRule type="cellIs" dxfId="156" priority="67" stopIfTrue="1" operator="lessThan">
      <formula>0.005</formula>
    </cfRule>
  </conditionalFormatting>
  <conditionalFormatting sqref="F87">
    <cfRule type="cellIs" dxfId="154" priority="65" stopIfTrue="1" operator="lessThan">
      <formula>0.005</formula>
    </cfRule>
  </conditionalFormatting>
  <conditionalFormatting sqref="H14 H16:H21 H97:H100 H102:H105 H107:H108 H110">
    <cfRule type="cellIs" dxfId="129" priority="78" stopIfTrue="1" operator="lessThan">
      <formula>0.005</formula>
    </cfRule>
  </conditionalFormatting>
  <conditionalFormatting sqref="H27 H23 H25">
    <cfRule type="cellIs" dxfId="128" priority="106" stopIfTrue="1" operator="lessThan">
      <formula>0.005</formula>
    </cfRule>
  </conditionalFormatting>
  <conditionalFormatting sqref="H27 H29 H31">
    <cfRule type="cellIs" dxfId="127" priority="80" stopIfTrue="1" operator="lessThan">
      <formula>0.005</formula>
    </cfRule>
  </conditionalFormatting>
  <conditionalFormatting sqref="H31 H33">
    <cfRule type="cellIs" dxfId="126" priority="102" stopIfTrue="1" operator="lessThan">
      <formula>0.005</formula>
    </cfRule>
  </conditionalFormatting>
  <conditionalFormatting sqref="H33 H37 H39 H41 H43 H35">
    <cfRule type="cellIs" dxfId="125" priority="189" stopIfTrue="1" operator="lessThan">
      <formula>0.005</formula>
    </cfRule>
  </conditionalFormatting>
  <conditionalFormatting sqref="H37 H39 H41 H43 H45 H47 H49">
    <cfRule type="cellIs" dxfId="124" priority="96" stopIfTrue="1" operator="lessThan">
      <formula>0.005</formula>
    </cfRule>
  </conditionalFormatting>
  <conditionalFormatting sqref="H65 H73 H75:H77 H111 H124:H135 H137:H147 H154:H156 H158:H159 H164 H63 H67 H69 H71 H178:H189 H192:H206 H152 H86:H88 H90:H93 H95">
    <cfRule type="cellIs" dxfId="122" priority="208" stopIfTrue="1" operator="lessThan">
      <formula>0.005</formula>
    </cfRule>
  </conditionalFormatting>
  <conditionalFormatting sqref="H65">
    <cfRule type="cellIs" dxfId="121" priority="185" stopIfTrue="1" operator="lessThan">
      <formula>0.005</formula>
    </cfRule>
  </conditionalFormatting>
  <conditionalFormatting sqref="H73 H75">
    <cfRule type="cellIs" dxfId="120" priority="175" stopIfTrue="1" operator="lessThan">
      <formula>0.005</formula>
    </cfRule>
  </conditionalFormatting>
  <conditionalFormatting sqref="H78:H80 H82:H84">
    <cfRule type="cellIs" dxfId="119" priority="166" stopIfTrue="1" operator="lessThan">
      <formula>0.005</formula>
    </cfRule>
  </conditionalFormatting>
  <conditionalFormatting sqref="H122">
    <cfRule type="cellIs" dxfId="117" priority="124" stopIfTrue="1" operator="lessThan">
      <formula>0.005</formula>
    </cfRule>
    <cfRule type="cellIs" dxfId="116" priority="159" stopIfTrue="1" operator="lessThan">
      <formula>0.005</formula>
    </cfRule>
  </conditionalFormatting>
  <conditionalFormatting sqref="H136:H137">
    <cfRule type="cellIs" dxfId="115" priority="161" stopIfTrue="1" operator="lessThan">
      <formula>0.005</formula>
    </cfRule>
  </conditionalFormatting>
  <conditionalFormatting sqref="H148:H151">
    <cfRule type="cellIs" dxfId="114" priority="91" stopIfTrue="1" operator="lessThan">
      <formula>0.005</formula>
    </cfRule>
  </conditionalFormatting>
  <conditionalFormatting sqref="H149">
    <cfRule type="cellIs" dxfId="113" priority="88" stopIfTrue="1" operator="lessThan">
      <formula>0.005</formula>
    </cfRule>
  </conditionalFormatting>
  <conditionalFormatting sqref="H153">
    <cfRule type="cellIs" dxfId="112" priority="86" stopIfTrue="1" operator="lessThan">
      <formula>0.005</formula>
    </cfRule>
  </conditionalFormatting>
  <conditionalFormatting sqref="H157:H163">
    <cfRule type="cellIs" dxfId="111" priority="113" stopIfTrue="1" operator="lessThan">
      <formula>0.005</formula>
    </cfRule>
  </conditionalFormatting>
  <conditionalFormatting sqref="H160:H161">
    <cfRule type="cellIs" dxfId="110" priority="110" stopIfTrue="1" operator="lessThan">
      <formula>0.005</formula>
    </cfRule>
  </conditionalFormatting>
  <conditionalFormatting sqref="H176">
    <cfRule type="cellIs" dxfId="108" priority="122" stopIfTrue="1" operator="lessThan">
      <formula>0.005</formula>
    </cfRule>
  </conditionalFormatting>
  <conditionalFormatting sqref="H190:H191">
    <cfRule type="cellIs" dxfId="107" priority="128" stopIfTrue="1" operator="lessThan">
      <formula>0.005</formula>
    </cfRule>
  </conditionalFormatting>
  <conditionalFormatting sqref="H207:H231">
    <cfRule type="cellIs" dxfId="106" priority="108" stopIfTrue="1" operator="lessThan">
      <formula>0.005</formula>
    </cfRule>
  </conditionalFormatting>
  <pageMargins left="0.43307086614173229" right="0.31496062992125984" top="0.43307086614173229" bottom="0.62992125984251968" header="0.35433070866141736" footer="0.31496062992125984"/>
  <pageSetup paperSize="9" scale="76"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rowBreaks count="3" manualBreakCount="3">
    <brk id="52" max="8" man="1"/>
    <brk id="113" max="8" man="1"/>
    <brk id="167" max="8" man="1"/>
  </rowBreaks>
  <extLst>
    <ext xmlns:x14="http://schemas.microsoft.com/office/spreadsheetml/2009/9/main" uri="{78C0D931-6437-407d-A8EE-F0AAD7539E65}">
      <x14:conditionalFormattings>
        <x14:conditionalFormatting xmlns:xm="http://schemas.microsoft.com/office/excel/2006/main">
          <x14:cfRule type="expression" priority="71" id="{F35EE780-3693-4823-AF51-B144881730CD}">
            <xm:f>AND(Home!$C$8=FALSE,$D79&lt;&gt;"P C Sum",$D79&lt;&gt;"PC Sum",$D79&lt;&gt;"P Sum",$D79&lt;&gt;"Prov Sum")</xm:f>
            <x14:dxf>
              <font>
                <color theme="0"/>
              </font>
            </x14:dxf>
          </x14:cfRule>
          <xm:sqref>F79</xm:sqref>
        </x14:conditionalFormatting>
        <x14:conditionalFormatting xmlns:xm="http://schemas.microsoft.com/office/excel/2006/main">
          <x14:cfRule type="expression" priority="68" id="{9CE6FE6D-18D5-4DED-BBA1-8D5CB13BE231}">
            <xm:f>AND(Home!$C$8=FALSE,$D83&lt;&gt;"P C Sum",$D83&lt;&gt;"PC Sum",$D83&lt;&gt;"P Sum",$D83&lt;&gt;"Prov Sum")</xm:f>
            <x14:dxf>
              <font>
                <color theme="0"/>
              </font>
            </x14:dxf>
          </x14:cfRule>
          <xm:sqref>F83</xm:sqref>
        </x14:conditionalFormatting>
        <x14:conditionalFormatting xmlns:xm="http://schemas.microsoft.com/office/excel/2006/main">
          <x14:cfRule type="expression" priority="10" id="{E77419DD-D8EC-4944-AA82-5E4C06CD0F05}">
            <xm:f>AND(Home!$C$8=FALSE,$D87&lt;&gt;"P C Sum",$D87&lt;&gt;"PC Sum",$D87&lt;&gt;"P Sum",$D87&lt;&gt;"Prov Sum")</xm:f>
            <x14:dxf>
              <font>
                <color theme="0"/>
              </font>
            </x14:dxf>
          </x14:cfRule>
          <xm:sqref>F87:H87</xm:sqref>
        </x14:conditionalFormatting>
        <x14:conditionalFormatting xmlns:xm="http://schemas.microsoft.com/office/excel/2006/main">
          <x14:cfRule type="expression" priority="12" id="{C39BF4A8-01DC-4CEC-B632-09C3240DC88C}">
            <xm:f>AND(Home!$C$8=FALSE,$D79&lt;&gt;"P C Sum",$D79&lt;&gt;"PC Sum",$D79&lt;&gt;"P Sum",$D79&lt;&gt;"Prov Sum")</xm:f>
            <x14:dxf>
              <font>
                <color theme="0"/>
              </font>
            </x14:dxf>
          </x14:cfRule>
          <xm:sqref>G79</xm:sqref>
        </x14:conditionalFormatting>
        <x14:conditionalFormatting xmlns:xm="http://schemas.microsoft.com/office/excel/2006/main">
          <x14:cfRule type="expression" priority="11" id="{1AD40DE7-BCDD-41EE-8352-7EE9079BBFBC}">
            <xm:f>AND(Home!$C$8=FALSE,$D83&lt;&gt;"P C Sum",$D83&lt;&gt;"PC Sum",$D83&lt;&gt;"P Sum",$D83&lt;&gt;"Prov Sum")</xm:f>
            <x14:dxf>
              <font>
                <color theme="0"/>
              </font>
            </x14:dxf>
          </x14:cfRule>
          <xm:sqref>G83</xm:sqref>
        </x14:conditionalFormatting>
        <x14:conditionalFormatting xmlns:xm="http://schemas.microsoft.com/office/excel/2006/main">
          <x14:cfRule type="expression" priority="31" id="{B0E91167-288C-4D28-B139-17AE1C9DC735}">
            <xm:f>AND(Home!$C$8=FALSE,$D10&lt;&gt;"P C Sum",$D10&lt;&gt;"PC Sum",$D10&lt;&gt;"P Sum",$D10&lt;&gt;"Prov Sum")</xm:f>
            <x14:dxf>
              <font>
                <color theme="0"/>
              </font>
            </x14:dxf>
          </x14:cfRule>
          <xm:sqref>G10:H51</xm:sqref>
        </x14:conditionalFormatting>
        <x14:conditionalFormatting xmlns:xm="http://schemas.microsoft.com/office/excel/2006/main">
          <x14:cfRule type="expression" priority="105" id="{8A16C667-1834-4008-89E8-22B4FE9AA50B}">
            <xm:f>AND(Home!$C$8=FALSE,$D27&lt;&gt;"P C Sum",$D27&lt;&gt;"PC Sum",$D27&lt;&gt;"P Sum",$D27&lt;&gt;"Prov Sum")</xm:f>
            <x14:dxf>
              <font>
                <color theme="0"/>
              </font>
            </x14:dxf>
          </x14:cfRule>
          <xm:sqref>G27:H27</xm:sqref>
        </x14:conditionalFormatting>
        <x14:conditionalFormatting xmlns:xm="http://schemas.microsoft.com/office/excel/2006/main">
          <x14:cfRule type="expression" priority="101" id="{9E86ADF3-CF5A-4BF6-A24F-8D500B7EB922}">
            <xm:f>AND(Home!$C$8=FALSE,$D31&lt;&gt;"P C Sum",$D31&lt;&gt;"PC Sum",$D31&lt;&gt;"P Sum",$D31&lt;&gt;"Prov Sum")</xm:f>
            <x14:dxf>
              <font>
                <color theme="0"/>
              </font>
            </x14:dxf>
          </x14:cfRule>
          <xm:sqref>G31:H31</xm:sqref>
        </x14:conditionalFormatting>
        <x14:conditionalFormatting xmlns:xm="http://schemas.microsoft.com/office/excel/2006/main">
          <x14:cfRule type="expression" priority="188" id="{ECDECFDA-7ACF-45E8-8FCF-FBD32F8FBBA5}">
            <xm:f>AND(Home!$C$8=FALSE,$D33&lt;&gt;"P C Sum",$D33&lt;&gt;"PC Sum",$D33&lt;&gt;"P Sum",$D33&lt;&gt;"Prov Sum")</xm:f>
            <x14:dxf>
              <font>
                <color theme="0"/>
              </font>
            </x14:dxf>
          </x14:cfRule>
          <xm:sqref>G33:H33 G37:H37 G39:H39 G41:H41 G43:H43</xm:sqref>
        </x14:conditionalFormatting>
        <x14:conditionalFormatting xmlns:xm="http://schemas.microsoft.com/office/excel/2006/main">
          <x14:cfRule type="expression" priority="9" id="{806C1996-26A5-43F7-B55D-08EF9440E6C1}">
            <xm:f>AND(Home!$C$8=FALSE,$D63&lt;&gt;"P C Sum",$D63&lt;&gt;"PC Sum",$D63&lt;&gt;"P Sum",$D63&lt;&gt;"Prov Sum")</xm:f>
            <x14:dxf>
              <font>
                <color theme="0"/>
              </font>
            </x14:dxf>
          </x14:cfRule>
          <xm:sqref>G63:H64 G66:H72 G74:H74</xm:sqref>
        </x14:conditionalFormatting>
        <x14:conditionalFormatting xmlns:xm="http://schemas.microsoft.com/office/excel/2006/main">
          <x14:cfRule type="expression" priority="207" id="{EED874BD-06CD-4E07-A875-3CD13DD5FF45}">
            <xm:f>AND(Home!$C$8=FALSE,$D65&lt;&gt;"P C Sum",$D65&lt;&gt;"PC Sum",$D65&lt;&gt;"P Sum",$D65&lt;&gt;"Prov Sum")</xm:f>
            <x14:dxf>
              <font>
                <color theme="0"/>
              </font>
            </x14:dxf>
          </x14:cfRule>
          <xm:sqref>G65:H65 G73:H73 G75:H77 G124:H147 G154:H159 G162:H166 G110:H112</xm:sqref>
        </x14:conditionalFormatting>
        <x14:conditionalFormatting xmlns:xm="http://schemas.microsoft.com/office/excel/2006/main">
          <x14:cfRule type="expression" priority="201" id="{393C0C8C-B781-4E9D-B7FC-8C730645A847}">
            <xm:f>AND(Home!$C$8=FALSE,#REF!&lt;&gt;"P C Sum",#REF!&lt;&gt;"PC Sum",#REF!&lt;&gt;"P Sum",#REF!&lt;&gt;"Prov Sum")</xm:f>
            <x14:dxf>
              <font>
                <color theme="0"/>
              </font>
            </x14:dxf>
          </x14:cfRule>
          <xm:sqref>G65:H65 G73:H73 G175:H178 G103:H103 G60:H60 G61 G62:H63 G67:H67 G69:H69 G71:H71 G195:H198</xm:sqref>
        </x14:conditionalFormatting>
        <x14:conditionalFormatting xmlns:xm="http://schemas.microsoft.com/office/excel/2006/main">
          <x14:cfRule type="expression" priority="167" id="{B3B0B338-D4D6-46BE-B7AF-E459F5F227F7}">
            <xm:f>AND(Home!$C$8=FALSE,$D78&lt;&gt;"P C Sum",$D78&lt;&gt;"PC Sum",$D78&lt;&gt;"P Sum",$D78&lt;&gt;"Prov Sum")</xm:f>
            <x14:dxf>
              <font>
                <color theme="0"/>
              </font>
            </x14:dxf>
          </x14:cfRule>
          <xm:sqref>G78:H78 H79 G80:H80 G82:H82 H83 G84:H84</xm:sqref>
        </x14:conditionalFormatting>
        <x14:conditionalFormatting xmlns:xm="http://schemas.microsoft.com/office/excel/2006/main">
          <x14:cfRule type="expression" priority="8" id="{377BE52E-3928-4CBA-A1DC-415AD4BCC404}">
            <xm:f>AND(Home!$C$8=FALSE,$D81&lt;&gt;"P C Sum",$D81&lt;&gt;"PC Sum",$D81&lt;&gt;"P Sum",$D81&lt;&gt;"Prov Sum")</xm:f>
            <x14:dxf>
              <font>
                <color theme="0"/>
              </font>
            </x14:dxf>
          </x14:cfRule>
          <xm:sqref>G81:H81</xm:sqref>
        </x14:conditionalFormatting>
        <x14:conditionalFormatting xmlns:xm="http://schemas.microsoft.com/office/excel/2006/main">
          <x14:cfRule type="expression" priority="7" id="{F1CF4B51-5EE8-49BB-925B-60FE02CE5E23}">
            <xm:f>AND(Home!$C$8=FALSE,$D85&lt;&gt;"P C Sum",$D85&lt;&gt;"PC Sum",$D85&lt;&gt;"P Sum",$D85&lt;&gt;"Prov Sum")</xm:f>
            <x14:dxf>
              <font>
                <color theme="0"/>
              </font>
            </x14:dxf>
          </x14:cfRule>
          <xm:sqref>G85:H86</xm:sqref>
        </x14:conditionalFormatting>
        <x14:conditionalFormatting xmlns:xm="http://schemas.microsoft.com/office/excel/2006/main">
          <x14:cfRule type="expression" priority="1" id="{41B865AA-74AB-4E11-8A86-23631C42934C}">
            <xm:f>AND(Home!$C$8=FALSE,$D88&lt;&gt;"P C Sum",$D88&lt;&gt;"PC Sum",$D88&lt;&gt;"P Sum",$D88&lt;&gt;"Prov Sum")</xm:f>
            <x14:dxf>
              <font>
                <color theme="0"/>
              </font>
            </x14:dxf>
          </x14:cfRule>
          <xm:sqref>G88:H109</xm:sqref>
        </x14:conditionalFormatting>
        <x14:conditionalFormatting xmlns:xm="http://schemas.microsoft.com/office/excel/2006/main">
          <x14:cfRule type="expression" priority="158" id="{C896BCAD-4112-4C7B-ABA2-C0328120317F}">
            <xm:f>AND(Home!$C$8=FALSE,#REF!&lt;&gt;"P C Sum",#REF!&lt;&gt;"PC Sum",#REF!&lt;&gt;"P Sum",#REF!&lt;&gt;"Prov Sum")</xm:f>
            <x14:dxf>
              <font>
                <color theme="0"/>
              </font>
            </x14:dxf>
          </x14:cfRule>
          <xm:sqref>G121:H137 G158:H159</xm:sqref>
        </x14:conditionalFormatting>
        <x14:conditionalFormatting xmlns:xm="http://schemas.microsoft.com/office/excel/2006/main">
          <x14:cfRule type="expression" priority="90" id="{2BFF72DB-9052-45A2-A5C4-6E510777B836}">
            <xm:f>AND(Home!$C$8=FALSE,$D148&lt;&gt;"P C Sum",$D148&lt;&gt;"PC Sum",$D148&lt;&gt;"P Sum",$D148&lt;&gt;"Prov Sum")</xm:f>
            <x14:dxf>
              <font>
                <color theme="0"/>
              </font>
            </x14:dxf>
          </x14:cfRule>
          <xm:sqref>G148:H149</xm:sqref>
        </x14:conditionalFormatting>
        <x14:conditionalFormatting xmlns:xm="http://schemas.microsoft.com/office/excel/2006/main">
          <x14:cfRule type="expression" priority="87" id="{49E4F073-0FA7-46A0-95E1-E65E012D98FB}">
            <xm:f>AND(Home!$C$8=FALSE,#REF!&lt;&gt;"P C Sum",#REF!&lt;&gt;"PC Sum",#REF!&lt;&gt;"P Sum",#REF!&lt;&gt;"Prov Sum")</xm:f>
            <x14:dxf>
              <font>
                <color theme="0"/>
              </font>
            </x14:dxf>
          </x14:cfRule>
          <xm:sqref>G149:H149</xm:sqref>
        </x14:conditionalFormatting>
        <x14:conditionalFormatting xmlns:xm="http://schemas.microsoft.com/office/excel/2006/main">
          <x14:cfRule type="expression" priority="89" id="{EC72D789-AD3C-489D-BF53-5A8A66EB8D4F}">
            <xm:f>AND(Home!$C$8=FALSE,#REF!&lt;&gt;"P C Sum",#REF!&lt;&gt;"PC Sum",#REF!&lt;&gt;"P Sum",#REF!&lt;&gt;"Prov Sum")</xm:f>
            <x14:dxf>
              <font>
                <color theme="0"/>
              </font>
            </x14:dxf>
          </x14:cfRule>
          <xm:sqref>G149:H151</xm:sqref>
        </x14:conditionalFormatting>
        <x14:conditionalFormatting xmlns:xm="http://schemas.microsoft.com/office/excel/2006/main">
          <x14:cfRule type="expression" priority="94" id="{3B5F4EFD-8372-4213-85FC-DF57CFF90CB8}">
            <xm:f>AND(Home!$C$8=FALSE,$D150&lt;&gt;"P C Sum",$D150&lt;&gt;"PC Sum",$D150&lt;&gt;"P Sum",$D150&lt;&gt;"Prov Sum")</xm:f>
            <x14:dxf>
              <font>
                <color theme="0"/>
              </font>
            </x14:dxf>
          </x14:cfRule>
          <xm:sqref>G150:H152</xm:sqref>
        </x14:conditionalFormatting>
        <x14:conditionalFormatting xmlns:xm="http://schemas.microsoft.com/office/excel/2006/main">
          <x14:cfRule type="expression" priority="85" id="{452F4BE1-EB6B-4EC0-820D-69190A8ED3D5}">
            <xm:f>AND('E:\02 RT\280RT - Empangeni Rehab\07 P389 (Reseal)\04 Procurement\04 Estimate\20190909 to DoT\[P389 km4-km12 20190909 BoQ.xlsx]Home'!#REF!=FALSE,$D153&lt;&gt;"P C Sum",$D153&lt;&gt;"PC Sum",$D153&lt;&gt;"P Sum",$D153&lt;&gt;"Prov Sum")</xm:f>
            <x14:dxf>
              <font>
                <color theme="0"/>
              </font>
            </x14:dxf>
          </x14:cfRule>
          <xm:sqref>G153:H153</xm:sqref>
        </x14:conditionalFormatting>
        <x14:conditionalFormatting xmlns:xm="http://schemas.microsoft.com/office/excel/2006/main">
          <x14:cfRule type="expression" priority="111" id="{05D184E7-D1A0-449D-9BFA-9015768FC7B2}">
            <xm:f>AND(Home!$C$8=FALSE,#REF!&lt;&gt;"P C Sum",#REF!&lt;&gt;"PC Sum",#REF!&lt;&gt;"P Sum",#REF!&lt;&gt;"Prov Sum")</xm:f>
            <x14:dxf>
              <font>
                <color theme="0"/>
              </font>
            </x14:dxf>
          </x14:cfRule>
          <xm:sqref>G156:H164</xm:sqref>
        </x14:conditionalFormatting>
        <x14:conditionalFormatting xmlns:xm="http://schemas.microsoft.com/office/excel/2006/main">
          <x14:cfRule type="expression" priority="112" id="{8D35D4E4-3C24-47A9-877A-102B36526A8C}">
            <xm:f>AND(Home!$C$8=FALSE,$D160&lt;&gt;"P C Sum",$D160&lt;&gt;"PC Sum",$D160&lt;&gt;"P Sum",$D160&lt;&gt;"Prov Sum")</xm:f>
            <x14:dxf>
              <font>
                <color theme="0"/>
              </font>
            </x14:dxf>
          </x14:cfRule>
          <x14:cfRule type="expression" priority="109" id="{4EE11D9B-107C-4A78-BCA4-59FDB1891D6F}">
            <xm:f>AND(Home!$C$8=FALSE,#REF!&lt;&gt;"P C Sum",#REF!&lt;&gt;"PC Sum",#REF!&lt;&gt;"P Sum",#REF!&lt;&gt;"Prov Sum")</xm:f>
            <x14:dxf>
              <font>
                <color theme="0"/>
              </font>
            </x14:dxf>
          </x14:cfRule>
          <xm:sqref>G160:H161</xm:sqref>
        </x14:conditionalFormatting>
        <x14:conditionalFormatting xmlns:xm="http://schemas.microsoft.com/office/excel/2006/main">
          <x14:cfRule type="expression" priority="107" id="{5F44F46E-0053-4640-A3EE-C22B947CB545}">
            <xm:f>AND(Home!$C$8=FALSE,$D178&lt;&gt;"P C Sum",$D178&lt;&gt;"PC Sum",$D178&lt;&gt;"P Sum",$D178&lt;&gt;"Prov Sum")</xm:f>
            <x14:dxf>
              <font>
                <color theme="0"/>
              </font>
            </x14:dxf>
          </x14:cfRule>
          <xm:sqref>G178:H233</xm:sqref>
        </x14:conditionalFormatting>
        <x14:conditionalFormatting xmlns:xm="http://schemas.microsoft.com/office/excel/2006/main">
          <x14:cfRule type="expression" priority="13" id="{8F56B001-4E30-40B6-B84E-0AA90672179D}">
            <xm:f>AND(Home!$C$8=FALSE,$D61&lt;&gt;"P C Sum",$D61&lt;&gt;"PC Sum",$D61&lt;&gt;"P Sum",$D61&lt;&gt;"Prov Sum")</xm:f>
            <x14:dxf>
              <font>
                <color theme="0"/>
              </font>
            </x14:dxf>
          </x14:cfRule>
          <xm:sqref>H61</xm:sqref>
        </x14:conditionalFormatting>
        <x14:conditionalFormatting xmlns:xm="http://schemas.microsoft.com/office/excel/2006/main">
          <x14:cfRule type="expression" priority="123" id="{5189F59E-8222-4F6D-95C3-804639E0486D}">
            <xm:f>AND(Home!$C$8=FALSE,$D122&lt;&gt;"P C Sum",$D122&lt;&gt;"PC Sum",$D122&lt;&gt;"P Sum",$D122&lt;&gt;"Prov Sum")</xm:f>
            <x14:dxf>
              <font>
                <color theme="0"/>
              </font>
            </x14:dxf>
          </x14:cfRule>
          <xm:sqref>H122</xm:sqref>
        </x14:conditionalFormatting>
        <x14:conditionalFormatting xmlns:xm="http://schemas.microsoft.com/office/excel/2006/main">
          <x14:cfRule type="expression" priority="121" id="{C01DDCE0-B46E-4738-89C5-4F3D7210CA07}">
            <xm:f>AND(Home!$C$8=FALSE,$D176&lt;&gt;"P C Sum",$D176&lt;&gt;"PC Sum",$D176&lt;&gt;"P Sum",$D176&lt;&gt;"Prov Sum")</xm:f>
            <x14:dxf>
              <font>
                <color theme="0"/>
              </font>
            </x14:dxf>
          </x14:cfRule>
          <xm:sqref>H176</xm:sqref>
        </x14:conditionalFormatting>
        <x14:conditionalFormatting xmlns:xm="http://schemas.microsoft.com/office/excel/2006/main">
          <x14:cfRule type="expression" priority="355" id="{D056A557-F750-448F-89BE-F0917021F9F5}">
            <xm:f>AND(Home!$C$8=FALSE,#REF!&lt;&gt;"P C Sum",#REF!&lt;&gt;"PC Sum",#REF!&lt;&gt;"P Sum",#REF!&lt;&gt;"Prov Sum")</xm:f>
            <x14:dxf>
              <font>
                <color theme="0"/>
              </font>
            </x14:dxf>
          </x14:cfRule>
          <xm:sqref>K51</xm:sqref>
        </x14:conditionalFormatting>
        <x14:conditionalFormatting xmlns:xm="http://schemas.microsoft.com/office/excel/2006/main">
          <x14:cfRule type="expression" priority="352" id="{3E069FDE-821B-4F67-A581-4D2F528C79D1}">
            <xm:f>AND(Home!$C$8=FALSE,#REF!&lt;&gt;"P C Sum",#REF!&lt;&gt;"PC Sum",#REF!&lt;&gt;"P Sum",#REF!&lt;&gt;"Prov Sum")</xm:f>
            <x14:dxf>
              <font>
                <color theme="0"/>
              </font>
            </x14:dxf>
          </x14:cfRule>
          <xm:sqref>K112</xm:sqref>
        </x14:conditionalFormatting>
        <x14:conditionalFormatting xmlns:xm="http://schemas.microsoft.com/office/excel/2006/main">
          <x14:cfRule type="expression" priority="162" id="{4AAD22D2-80A2-4ED6-97AB-97335E46C89B}">
            <xm:f>AND(Home!$C$8=FALSE,#REF!&lt;&gt;"P C Sum",#REF!&lt;&gt;"PC Sum",#REF!&lt;&gt;"P Sum",#REF!&lt;&gt;"Prov Sum")</xm:f>
            <x14:dxf>
              <font>
                <color theme="0"/>
              </font>
            </x14:dxf>
          </x14:cfRule>
          <xm:sqref>K166</xm:sqref>
        </x14:conditionalFormatting>
        <x14:conditionalFormatting xmlns:xm="http://schemas.microsoft.com/office/excel/2006/main">
          <x14:cfRule type="expression" priority="136" id="{77928F73-CF21-47B7-8E20-4C0483DBD137}">
            <xm:f>AND(Home!$C$8=FALSE,#REF!&lt;&gt;"P C Sum",#REF!&lt;&gt;"PC Sum",#REF!&lt;&gt;"P Sum",#REF!&lt;&gt;"Prov Sum")</xm:f>
            <x14:dxf>
              <font>
                <color theme="0"/>
              </font>
            </x14:dxf>
          </x14:cfRule>
          <xm:sqref>K233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5EFD-FACB-4632-8DC1-6455B468E1C4}">
  <sheetPr codeName="Sheet3">
    <tabColor theme="9" tint="0.59999389629810485"/>
  </sheetPr>
  <dimension ref="A1:R123"/>
  <sheetViews>
    <sheetView showGridLines="0" view="pageBreakPreview" zoomScaleNormal="145" zoomScaleSheetLayoutView="100" zoomScalePageLayoutView="125" workbookViewId="0">
      <pane xSplit="5" ySplit="2" topLeftCell="F3" activePane="bottomRight" state="frozen"/>
      <selection activeCell="F47" sqref="F47"/>
      <selection pane="topRight" activeCell="F47" sqref="F47"/>
      <selection pane="bottomLeft" activeCell="F47" sqref="F47"/>
      <selection pane="bottomRight" activeCell="J12" sqref="J12"/>
    </sheetView>
  </sheetViews>
  <sheetFormatPr defaultColWidth="11.08984375" defaultRowHeight="11.5" x14ac:dyDescent="0.25"/>
  <cols>
    <col min="1" max="1" width="1.1796875" style="306" customWidth="1"/>
    <col min="2" max="2" width="9.1796875" style="311" customWidth="1"/>
    <col min="3" max="3" width="41.1796875" style="306" customWidth="1"/>
    <col min="4" max="4" width="9" style="312" customWidth="1"/>
    <col min="5" max="5" width="4.453125" style="313" customWidth="1"/>
    <col min="6" max="6" width="11.6328125" style="372" customWidth="1"/>
    <col min="7" max="7" width="12.1796875" style="373" customWidth="1"/>
    <col min="8" max="8" width="18" style="373" customWidth="1"/>
    <col min="9" max="9" width="1.1796875" style="306" customWidth="1"/>
    <col min="10" max="10" width="13.54296875" style="57" customWidth="1"/>
    <col min="11" max="11" width="14.1796875" style="57" customWidth="1"/>
    <col min="12" max="12" width="14.1796875" style="71" customWidth="1"/>
    <col min="13" max="13" width="14.1796875" style="23" customWidth="1"/>
    <col min="14" max="16384" width="11.08984375" style="306"/>
  </cols>
  <sheetData>
    <row r="1" spans="1:13" x14ac:dyDescent="0.25">
      <c r="A1" s="53"/>
      <c r="B1" s="54"/>
      <c r="C1" s="24" t="s">
        <v>61</v>
      </c>
      <c r="D1" s="25"/>
      <c r="E1" s="25"/>
      <c r="F1" s="25"/>
      <c r="G1" s="23"/>
      <c r="H1" s="55">
        <f>MAX(H2:H157)</f>
        <v>500000</v>
      </c>
      <c r="I1" s="56"/>
    </row>
    <row r="2" spans="1:13" x14ac:dyDescent="0.25">
      <c r="B2" s="145"/>
      <c r="C2" s="61"/>
      <c r="D2" s="61"/>
      <c r="E2" s="61"/>
      <c r="F2" s="61"/>
      <c r="G2" s="61"/>
      <c r="H2" s="61"/>
      <c r="J2" s="159"/>
      <c r="K2" s="159"/>
      <c r="L2" s="307"/>
      <c r="M2" s="308"/>
    </row>
    <row r="3" spans="1:13" s="23" customFormat="1" x14ac:dyDescent="0.25">
      <c r="B3" s="309" t="str">
        <f>_Client1</f>
        <v>Province of KwaZulu-Natal</v>
      </c>
      <c r="C3" s="24"/>
      <c r="D3" s="25"/>
      <c r="F3" s="753" t="str">
        <f>"Contract No. "&amp;_ContractNo</f>
        <v>Contract No. ZNB02642/00000/00/HOD/INF/25/T</v>
      </c>
      <c r="G3" s="753"/>
      <c r="H3" s="753"/>
      <c r="I3" s="26"/>
      <c r="J3" s="57"/>
      <c r="K3" s="57"/>
      <c r="L3" s="71"/>
    </row>
    <row r="4" spans="1:13" s="23" customFormat="1" x14ac:dyDescent="0.25">
      <c r="B4" s="310" t="str">
        <f>_Client2</f>
        <v>Department of Transport</v>
      </c>
      <c r="C4" s="24"/>
      <c r="D4" s="25"/>
      <c r="E4" s="25"/>
      <c r="F4" s="25"/>
      <c r="G4" s="25"/>
      <c r="H4" s="25"/>
      <c r="I4" s="26"/>
      <c r="J4" s="57"/>
      <c r="K4" s="57"/>
      <c r="L4" s="71"/>
    </row>
    <row r="5" spans="1:13" x14ac:dyDescent="0.25">
      <c r="F5" s="312"/>
      <c r="G5" s="312"/>
      <c r="H5" s="312"/>
    </row>
    <row r="6" spans="1:13" s="314" customFormat="1" x14ac:dyDescent="0.25">
      <c r="B6" s="65" t="str">
        <f>'1.2'!B6</f>
        <v>SCHEDULE A: ROADWORKS</v>
      </c>
      <c r="C6" s="315"/>
      <c r="D6" s="316"/>
      <c r="E6" s="316"/>
      <c r="F6" s="751" t="str">
        <f>"SECTION "&amp;B11</f>
        <v>SECTION C1.5</v>
      </c>
      <c r="G6" s="751"/>
      <c r="H6" s="752"/>
      <c r="I6" s="317"/>
      <c r="J6" s="160"/>
      <c r="K6" s="160"/>
      <c r="L6" s="318"/>
      <c r="M6" s="35"/>
    </row>
    <row r="7" spans="1:13" s="314" customFormat="1" ht="24"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17"/>
      <c r="J7" s="161"/>
      <c r="K7" s="161"/>
      <c r="L7" s="319"/>
      <c r="M7" s="35"/>
    </row>
    <row r="8" spans="1:13" ht="8.15" customHeight="1" x14ac:dyDescent="0.25">
      <c r="B8" s="27"/>
      <c r="C8" s="320"/>
      <c r="D8" s="320"/>
      <c r="E8" s="321"/>
      <c r="F8" s="320"/>
      <c r="G8" s="320"/>
      <c r="H8" s="322"/>
      <c r="I8" s="323"/>
      <c r="J8" s="161"/>
      <c r="K8" s="161"/>
      <c r="L8" s="319"/>
      <c r="M8" s="35"/>
    </row>
    <row r="9" spans="1:13" s="312" customFormat="1" ht="20.149999999999999" customHeight="1" x14ac:dyDescent="0.25">
      <c r="B9" s="5" t="s">
        <v>27</v>
      </c>
      <c r="C9" s="5" t="s">
        <v>1</v>
      </c>
      <c r="D9" s="5" t="s">
        <v>2</v>
      </c>
      <c r="E9" s="5" t="s">
        <v>30</v>
      </c>
      <c r="F9" s="324" t="s">
        <v>3</v>
      </c>
      <c r="G9" s="325" t="s">
        <v>4</v>
      </c>
      <c r="H9" s="325" t="s">
        <v>5</v>
      </c>
      <c r="J9" s="159"/>
      <c r="K9" s="159"/>
      <c r="L9" s="307"/>
      <c r="M9" s="61"/>
    </row>
    <row r="10" spans="1:13" ht="12" customHeight="1" x14ac:dyDescent="0.25">
      <c r="B10" s="326"/>
      <c r="C10" s="1"/>
      <c r="D10" s="1"/>
      <c r="E10" s="3"/>
      <c r="F10" s="327"/>
      <c r="G10" s="12"/>
      <c r="H10" s="328" t="str">
        <f t="shared" ref="H10:H118" si="0">IF(D10="","",F10*G10)</f>
        <v/>
      </c>
      <c r="J10" s="217"/>
      <c r="K10" s="218"/>
      <c r="L10" s="219"/>
      <c r="M10" s="329"/>
    </row>
    <row r="11" spans="1:13" ht="12" customHeight="1" x14ac:dyDescent="0.25">
      <c r="B11" s="330" t="s">
        <v>355</v>
      </c>
      <c r="C11" s="331" t="s">
        <v>11</v>
      </c>
      <c r="D11" s="1"/>
      <c r="E11" s="3"/>
      <c r="F11" s="332"/>
      <c r="G11" s="333"/>
      <c r="H11" s="283" t="str">
        <f t="shared" si="0"/>
        <v/>
      </c>
      <c r="I11" s="311"/>
      <c r="J11" s="217"/>
      <c r="K11" s="218"/>
      <c r="L11" s="219"/>
      <c r="M11" s="329"/>
    </row>
    <row r="12" spans="1:13" ht="12" customHeight="1" x14ac:dyDescent="0.25">
      <c r="B12" s="330"/>
      <c r="C12" s="331"/>
      <c r="D12" s="1"/>
      <c r="E12" s="3"/>
      <c r="F12" s="332"/>
      <c r="G12" s="333"/>
      <c r="H12" s="283"/>
      <c r="I12" s="311"/>
      <c r="J12" s="217"/>
      <c r="K12" s="218"/>
      <c r="L12" s="219"/>
      <c r="M12" s="329"/>
    </row>
    <row r="13" spans="1:13" ht="12" customHeight="1" x14ac:dyDescent="0.25">
      <c r="B13" s="334" t="s">
        <v>491</v>
      </c>
      <c r="C13" s="760" t="s">
        <v>492</v>
      </c>
      <c r="D13" s="3" t="s">
        <v>197</v>
      </c>
      <c r="E13" s="3" t="s">
        <v>30</v>
      </c>
      <c r="F13" s="336">
        <v>12</v>
      </c>
      <c r="G13" s="171">
        <v>0</v>
      </c>
      <c r="H13" s="337">
        <f>IF(D13="","",F13*G13)</f>
        <v>0</v>
      </c>
      <c r="I13" s="311"/>
      <c r="J13" s="217"/>
      <c r="K13" s="218"/>
      <c r="L13" s="219"/>
      <c r="M13" s="329"/>
    </row>
    <row r="14" spans="1:13" ht="13.5" customHeight="1" x14ac:dyDescent="0.25">
      <c r="B14" s="330"/>
      <c r="C14" s="760"/>
      <c r="D14" s="3"/>
      <c r="E14" s="3"/>
      <c r="F14" s="336"/>
      <c r="G14" s="338"/>
      <c r="H14" s="339"/>
      <c r="I14" s="311"/>
      <c r="J14" s="217"/>
      <c r="K14" s="218"/>
      <c r="L14" s="219"/>
      <c r="M14" s="329"/>
    </row>
    <row r="15" spans="1:13" ht="12" customHeight="1" x14ac:dyDescent="0.25">
      <c r="B15" s="330"/>
      <c r="C15" s="335"/>
      <c r="D15" s="3"/>
      <c r="E15" s="3"/>
      <c r="F15" s="336"/>
      <c r="G15" s="338"/>
      <c r="H15" s="339"/>
      <c r="I15" s="311"/>
      <c r="J15" s="217"/>
      <c r="K15" s="218"/>
      <c r="L15" s="219"/>
      <c r="M15" s="329"/>
    </row>
    <row r="16" spans="1:13" ht="14.25" customHeight="1" x14ac:dyDescent="0.25">
      <c r="B16" s="334" t="s">
        <v>461</v>
      </c>
      <c r="C16" s="340" t="s">
        <v>648</v>
      </c>
      <c r="D16" s="3" t="s">
        <v>197</v>
      </c>
      <c r="E16" s="3"/>
      <c r="F16" s="336">
        <v>12</v>
      </c>
      <c r="G16" s="171">
        <v>0</v>
      </c>
      <c r="H16" s="337">
        <f>IF(D16="","",F16*G16)</f>
        <v>0</v>
      </c>
      <c r="I16" s="311"/>
      <c r="J16" s="217"/>
      <c r="K16" s="218"/>
      <c r="L16" s="219"/>
      <c r="M16" s="329"/>
    </row>
    <row r="17" spans="2:18" ht="14.25" customHeight="1" x14ac:dyDescent="0.25">
      <c r="B17" s="334"/>
      <c r="C17" s="340"/>
      <c r="D17" s="3"/>
      <c r="E17" s="3"/>
      <c r="F17" s="336"/>
      <c r="G17" s="338"/>
      <c r="H17" s="339"/>
      <c r="I17" s="311"/>
      <c r="J17" s="217"/>
      <c r="K17" s="218"/>
      <c r="L17" s="219"/>
      <c r="M17" s="329"/>
    </row>
    <row r="18" spans="2:18" ht="14.25" customHeight="1" x14ac:dyDescent="0.25">
      <c r="B18" s="334" t="s">
        <v>651</v>
      </c>
      <c r="C18" s="340" t="s">
        <v>652</v>
      </c>
      <c r="D18" s="3" t="s">
        <v>197</v>
      </c>
      <c r="E18" s="3"/>
      <c r="F18" s="336">
        <v>12</v>
      </c>
      <c r="G18" s="171">
        <v>0</v>
      </c>
      <c r="H18" s="337">
        <f>IF(D18="","",F18*G18)</f>
        <v>0</v>
      </c>
      <c r="I18" s="311"/>
      <c r="J18" s="217"/>
      <c r="K18" s="218"/>
      <c r="L18" s="219"/>
      <c r="M18" s="329"/>
    </row>
    <row r="19" spans="2:18" ht="12" customHeight="1" x14ac:dyDescent="0.25">
      <c r="B19" s="330"/>
      <c r="C19" s="331"/>
      <c r="D19" s="3"/>
      <c r="E19" s="3"/>
      <c r="F19" s="336"/>
      <c r="G19" s="338"/>
      <c r="H19" s="339" t="str">
        <f>IF(D19="","",F19*G19)</f>
        <v/>
      </c>
      <c r="I19" s="311"/>
      <c r="J19" s="217"/>
      <c r="K19" s="218"/>
      <c r="L19" s="219"/>
      <c r="M19" s="329"/>
    </row>
    <row r="20" spans="2:18" ht="12" customHeight="1" x14ac:dyDescent="0.25">
      <c r="B20" s="334" t="s">
        <v>493</v>
      </c>
      <c r="C20" s="12" t="s">
        <v>494</v>
      </c>
      <c r="D20" s="3" t="s">
        <v>210</v>
      </c>
      <c r="E20" s="3"/>
      <c r="F20" s="337">
        <v>150000</v>
      </c>
      <c r="G20" s="169">
        <v>1</v>
      </c>
      <c r="H20" s="337">
        <f t="shared" ref="H20" si="1">IF(D20="","",F20*G20)</f>
        <v>150000</v>
      </c>
      <c r="I20" s="311"/>
      <c r="J20" s="278"/>
      <c r="K20" s="279"/>
      <c r="L20" s="280"/>
      <c r="M20" s="329"/>
    </row>
    <row r="21" spans="2:18" ht="12" customHeight="1" x14ac:dyDescent="0.25">
      <c r="B21" s="334"/>
      <c r="C21" s="12"/>
      <c r="D21" s="3"/>
      <c r="E21" s="3"/>
      <c r="F21" s="336"/>
      <c r="G21" s="338"/>
      <c r="H21" s="339"/>
      <c r="I21" s="311"/>
      <c r="J21" s="278"/>
      <c r="K21" s="279"/>
      <c r="L21" s="280"/>
      <c r="M21" s="329"/>
    </row>
    <row r="22" spans="2:18" ht="12" customHeight="1" x14ac:dyDescent="0.25">
      <c r="B22" s="334" t="s">
        <v>649</v>
      </c>
      <c r="C22" s="762" t="s">
        <v>650</v>
      </c>
      <c r="D22" s="341" t="s">
        <v>6</v>
      </c>
      <c r="E22" s="3"/>
      <c r="F22" s="337">
        <f>H20</f>
        <v>150000</v>
      </c>
      <c r="G22" s="168">
        <v>0</v>
      </c>
      <c r="H22" s="237">
        <f t="shared" si="0"/>
        <v>0</v>
      </c>
      <c r="I22" s="311"/>
      <c r="J22" s="278"/>
      <c r="K22" s="279"/>
      <c r="L22" s="280"/>
      <c r="M22" s="329"/>
    </row>
    <row r="23" spans="2:18" ht="12" customHeight="1" x14ac:dyDescent="0.25">
      <c r="B23" s="334"/>
      <c r="C23" s="762"/>
      <c r="D23" s="3"/>
      <c r="E23" s="3"/>
      <c r="F23" s="336"/>
      <c r="G23" s="338"/>
      <c r="H23" s="339"/>
      <c r="I23" s="311"/>
      <c r="J23" s="278"/>
      <c r="K23" s="279"/>
      <c r="L23" s="280"/>
      <c r="M23" s="329"/>
    </row>
    <row r="24" spans="2:18" ht="12" customHeight="1" x14ac:dyDescent="0.25">
      <c r="B24" s="330"/>
      <c r="C24" s="331"/>
      <c r="D24" s="3"/>
      <c r="E24" s="3"/>
      <c r="F24" s="336"/>
      <c r="G24" s="338"/>
      <c r="H24" s="339"/>
      <c r="I24" s="311"/>
      <c r="J24" s="217"/>
      <c r="K24" s="218"/>
      <c r="L24" s="219"/>
      <c r="M24" s="329"/>
    </row>
    <row r="25" spans="2:18" ht="12" customHeight="1" x14ac:dyDescent="0.25">
      <c r="B25" s="342" t="s">
        <v>381</v>
      </c>
      <c r="C25" s="12" t="s">
        <v>495</v>
      </c>
      <c r="D25" s="3"/>
      <c r="E25" s="3"/>
      <c r="F25" s="336"/>
      <c r="G25" s="338"/>
      <c r="H25" s="233"/>
      <c r="I25" s="311"/>
      <c r="J25" s="278"/>
      <c r="K25" s="279"/>
      <c r="L25" s="280"/>
      <c r="M25" s="329"/>
      <c r="O25" s="343"/>
      <c r="P25" s="343"/>
      <c r="Q25" s="343"/>
      <c r="R25" s="343"/>
    </row>
    <row r="26" spans="2:18" ht="12" customHeight="1" x14ac:dyDescent="0.25">
      <c r="B26" s="342"/>
      <c r="C26" s="340"/>
      <c r="D26" s="3"/>
      <c r="E26" s="3"/>
      <c r="F26" s="336"/>
      <c r="G26" s="338"/>
      <c r="H26" s="233"/>
      <c r="I26" s="311"/>
      <c r="J26" s="217"/>
      <c r="K26" s="218"/>
      <c r="L26" s="219"/>
      <c r="M26" s="329"/>
      <c r="O26" s="343"/>
      <c r="P26" s="343"/>
      <c r="Q26" s="343"/>
      <c r="R26" s="343"/>
    </row>
    <row r="27" spans="2:18" ht="12" customHeight="1" x14ac:dyDescent="0.25">
      <c r="B27" s="342" t="s">
        <v>496</v>
      </c>
      <c r="C27" s="340" t="s">
        <v>205</v>
      </c>
      <c r="D27" s="3" t="s">
        <v>14</v>
      </c>
      <c r="E27" s="3"/>
      <c r="F27" s="344">
        <f>((6000*5)*2)/10000</f>
        <v>6</v>
      </c>
      <c r="G27" s="171">
        <v>0</v>
      </c>
      <c r="H27" s="345">
        <f t="shared" ref="H27" si="2">IF(D27="","",F27*G27)</f>
        <v>0</v>
      </c>
      <c r="I27" s="346"/>
      <c r="J27" s="218"/>
      <c r="K27" s="218"/>
      <c r="L27" s="219"/>
      <c r="M27" s="329"/>
      <c r="O27" s="343"/>
      <c r="P27" s="343"/>
      <c r="Q27" s="343"/>
      <c r="R27" s="343"/>
    </row>
    <row r="28" spans="2:18" ht="12" customHeight="1" x14ac:dyDescent="0.25">
      <c r="B28" s="342"/>
      <c r="C28" s="340"/>
      <c r="D28" s="3"/>
      <c r="E28" s="3"/>
      <c r="F28" s="336"/>
      <c r="G28" s="338"/>
      <c r="H28" s="233" t="str">
        <f t="shared" si="0"/>
        <v/>
      </c>
      <c r="I28" s="311"/>
      <c r="J28" s="217"/>
      <c r="K28" s="218"/>
      <c r="L28" s="219"/>
      <c r="M28" s="329"/>
      <c r="O28" s="343"/>
      <c r="P28" s="343"/>
      <c r="Q28" s="343"/>
      <c r="R28" s="343"/>
    </row>
    <row r="29" spans="2:18" ht="12" customHeight="1" x14ac:dyDescent="0.25">
      <c r="B29" s="342" t="s">
        <v>497</v>
      </c>
      <c r="C29" s="340" t="s">
        <v>498</v>
      </c>
      <c r="D29" s="3" t="s">
        <v>499</v>
      </c>
      <c r="E29" s="3"/>
      <c r="F29" s="347">
        <v>200</v>
      </c>
      <c r="G29" s="171">
        <v>0</v>
      </c>
      <c r="H29" s="348">
        <f>IF(D29="","",F29*G29)</f>
        <v>0</v>
      </c>
      <c r="I29" s="18"/>
      <c r="J29" s="218"/>
      <c r="K29" s="218"/>
      <c r="L29" s="219"/>
      <c r="M29" s="329"/>
      <c r="O29" s="343"/>
      <c r="P29" s="343"/>
      <c r="Q29" s="343"/>
      <c r="R29" s="343"/>
    </row>
    <row r="30" spans="2:18" ht="12" customHeight="1" x14ac:dyDescent="0.25">
      <c r="B30" s="342"/>
      <c r="C30" s="340"/>
      <c r="D30" s="3"/>
      <c r="E30" s="3"/>
      <c r="F30" s="336"/>
      <c r="G30" s="338"/>
      <c r="H30" s="233"/>
      <c r="I30" s="311"/>
      <c r="J30" s="217"/>
      <c r="K30" s="218"/>
      <c r="L30" s="219"/>
      <c r="M30" s="329"/>
      <c r="O30" s="343"/>
      <c r="P30" s="343"/>
      <c r="Q30" s="343"/>
      <c r="R30" s="343"/>
    </row>
    <row r="31" spans="2:18" s="314" customFormat="1" ht="27" customHeight="1" x14ac:dyDescent="0.25">
      <c r="B31" s="9" t="s">
        <v>382</v>
      </c>
      <c r="C31" s="2" t="s">
        <v>383</v>
      </c>
      <c r="D31" s="3" t="s">
        <v>12</v>
      </c>
      <c r="E31" s="3"/>
      <c r="F31" s="347">
        <f>7.5*2</f>
        <v>15</v>
      </c>
      <c r="G31" s="171">
        <v>0</v>
      </c>
      <c r="H31" s="348">
        <f>IF(D31="","",F31*G31)</f>
        <v>0</v>
      </c>
      <c r="I31" s="349"/>
      <c r="J31" s="278"/>
      <c r="K31" s="279"/>
      <c r="L31" s="280"/>
      <c r="M31" s="350"/>
      <c r="O31" s="351"/>
      <c r="P31" s="351"/>
      <c r="Q31" s="351"/>
      <c r="R31" s="351"/>
    </row>
    <row r="32" spans="2:18" ht="12" customHeight="1" x14ac:dyDescent="0.25">
      <c r="B32" s="342"/>
      <c r="C32" s="352"/>
      <c r="D32" s="3"/>
      <c r="E32" s="3"/>
      <c r="F32" s="347"/>
      <c r="G32" s="353"/>
      <c r="H32" s="354"/>
      <c r="I32" s="311"/>
      <c r="J32" s="217"/>
      <c r="K32" s="218"/>
      <c r="L32" s="219"/>
      <c r="M32" s="329"/>
      <c r="O32" s="343"/>
      <c r="P32" s="343"/>
      <c r="Q32" s="343"/>
      <c r="R32" s="343"/>
    </row>
    <row r="33" spans="2:18" s="314" customFormat="1" ht="25.5" customHeight="1" x14ac:dyDescent="0.25">
      <c r="B33" s="9" t="s">
        <v>384</v>
      </c>
      <c r="C33" s="2" t="s">
        <v>385</v>
      </c>
      <c r="D33" s="3" t="s">
        <v>84</v>
      </c>
      <c r="E33" s="3"/>
      <c r="F33" s="347">
        <f>40*40</f>
        <v>1600</v>
      </c>
      <c r="G33" s="171">
        <v>0</v>
      </c>
      <c r="H33" s="348">
        <f>IF(D33="","",F33*G33)</f>
        <v>0</v>
      </c>
      <c r="I33" s="349"/>
      <c r="J33" s="278"/>
      <c r="K33" s="279"/>
      <c r="L33" s="280"/>
      <c r="M33" s="350"/>
      <c r="O33" s="351"/>
      <c r="P33" s="351"/>
      <c r="Q33" s="351"/>
      <c r="R33" s="351"/>
    </row>
    <row r="34" spans="2:18" ht="12" customHeight="1" x14ac:dyDescent="0.25">
      <c r="B34" s="342"/>
      <c r="C34" s="352"/>
      <c r="D34" s="3"/>
      <c r="E34" s="3"/>
      <c r="F34" s="336"/>
      <c r="G34" s="338"/>
      <c r="H34" s="233" t="str">
        <f t="shared" si="0"/>
        <v/>
      </c>
      <c r="I34" s="311"/>
      <c r="J34" s="217"/>
      <c r="K34" s="218"/>
      <c r="L34" s="219"/>
      <c r="M34" s="329"/>
      <c r="O34" s="343"/>
      <c r="P34" s="343"/>
      <c r="Q34" s="343"/>
      <c r="R34" s="343"/>
    </row>
    <row r="35" spans="2:18" ht="18" customHeight="1" x14ac:dyDescent="0.25">
      <c r="B35" s="9" t="s">
        <v>386</v>
      </c>
      <c r="C35" s="2" t="s">
        <v>387</v>
      </c>
      <c r="D35" s="3" t="s">
        <v>210</v>
      </c>
      <c r="E35" s="3"/>
      <c r="F35" s="355">
        <v>150000</v>
      </c>
      <c r="G35" s="169">
        <v>1</v>
      </c>
      <c r="H35" s="237">
        <f t="shared" si="0"/>
        <v>150000</v>
      </c>
      <c r="I35" s="311"/>
      <c r="J35" s="278"/>
      <c r="K35" s="279"/>
      <c r="L35" s="280"/>
      <c r="M35" s="329"/>
      <c r="O35" s="343"/>
      <c r="P35" s="343"/>
      <c r="Q35" s="343"/>
      <c r="R35" s="343"/>
    </row>
    <row r="36" spans="2:18" ht="12" customHeight="1" x14ac:dyDescent="0.25">
      <c r="B36" s="342"/>
      <c r="C36" s="352"/>
      <c r="D36" s="3"/>
      <c r="E36" s="3"/>
      <c r="F36" s="336"/>
      <c r="G36" s="338"/>
      <c r="H36" s="233" t="str">
        <f t="shared" si="0"/>
        <v/>
      </c>
      <c r="I36" s="311"/>
      <c r="J36" s="278"/>
      <c r="K36" s="279"/>
      <c r="L36" s="280"/>
      <c r="M36" s="329"/>
      <c r="O36" s="343"/>
      <c r="P36" s="343"/>
      <c r="Q36" s="343"/>
      <c r="R36" s="343"/>
    </row>
    <row r="37" spans="2:18" ht="12" customHeight="1" x14ac:dyDescent="0.25">
      <c r="B37" s="9" t="s">
        <v>388</v>
      </c>
      <c r="C37" s="761" t="s">
        <v>500</v>
      </c>
      <c r="D37" s="341" t="s">
        <v>6</v>
      </c>
      <c r="E37" s="3"/>
      <c r="F37" s="355">
        <f>H35</f>
        <v>150000</v>
      </c>
      <c r="G37" s="168">
        <v>0</v>
      </c>
      <c r="H37" s="237">
        <f t="shared" si="0"/>
        <v>0</v>
      </c>
      <c r="I37" s="311"/>
      <c r="J37" s="278"/>
      <c r="K37" s="279"/>
      <c r="L37" s="280"/>
      <c r="M37" s="329"/>
      <c r="O37" s="343"/>
      <c r="P37" s="343"/>
      <c r="Q37" s="343"/>
      <c r="R37" s="343"/>
    </row>
    <row r="38" spans="2:18" ht="12" customHeight="1" x14ac:dyDescent="0.25">
      <c r="B38" s="342"/>
      <c r="C38" s="761"/>
      <c r="D38" s="3"/>
      <c r="E38" s="3"/>
      <c r="F38" s="336"/>
      <c r="G38" s="338"/>
      <c r="H38" s="233"/>
      <c r="I38" s="311"/>
      <c r="J38" s="217"/>
      <c r="K38" s="218"/>
      <c r="L38" s="219"/>
      <c r="M38" s="329"/>
      <c r="O38" s="343"/>
      <c r="P38" s="343"/>
      <c r="Q38" s="343"/>
      <c r="R38" s="343"/>
    </row>
    <row r="39" spans="2:18" ht="12" customHeight="1" x14ac:dyDescent="0.25">
      <c r="B39" s="342"/>
      <c r="C39" s="352"/>
      <c r="D39" s="3"/>
      <c r="E39" s="3"/>
      <c r="F39" s="336"/>
      <c r="G39" s="338"/>
      <c r="H39" s="233"/>
      <c r="I39" s="311"/>
      <c r="J39" s="217"/>
      <c r="K39" s="218"/>
      <c r="L39" s="219"/>
      <c r="M39" s="329"/>
      <c r="O39" s="343"/>
      <c r="P39" s="343"/>
      <c r="Q39" s="343"/>
      <c r="R39" s="343"/>
    </row>
    <row r="40" spans="2:18" ht="12" customHeight="1" x14ac:dyDescent="0.25">
      <c r="B40" s="9" t="s">
        <v>389</v>
      </c>
      <c r="C40" s="352" t="s">
        <v>390</v>
      </c>
      <c r="D40" s="3"/>
      <c r="E40" s="3"/>
      <c r="F40" s="336"/>
      <c r="G40" s="338"/>
      <c r="H40" s="233"/>
      <c r="I40" s="311"/>
      <c r="J40" s="217"/>
      <c r="K40" s="218"/>
      <c r="L40" s="219"/>
      <c r="M40" s="329"/>
      <c r="O40" s="343"/>
      <c r="P40" s="343"/>
      <c r="Q40" s="343"/>
      <c r="R40" s="343"/>
    </row>
    <row r="41" spans="2:18" ht="12" customHeight="1" x14ac:dyDescent="0.25">
      <c r="B41" s="342"/>
      <c r="C41" s="352"/>
      <c r="D41" s="3"/>
      <c r="E41" s="3"/>
      <c r="F41" s="336"/>
      <c r="G41" s="338"/>
      <c r="H41" s="233"/>
      <c r="I41" s="311"/>
      <c r="J41" s="217"/>
      <c r="K41" s="218"/>
      <c r="L41" s="219"/>
      <c r="M41" s="329"/>
      <c r="O41" s="343"/>
      <c r="P41" s="343"/>
      <c r="Q41" s="343"/>
      <c r="R41" s="343"/>
    </row>
    <row r="42" spans="2:18" ht="12" customHeight="1" x14ac:dyDescent="0.25">
      <c r="B42" s="342" t="s">
        <v>356</v>
      </c>
      <c r="C42" s="352" t="s">
        <v>357</v>
      </c>
      <c r="D42" s="3"/>
      <c r="E42" s="3"/>
      <c r="F42" s="336"/>
      <c r="G42" s="338"/>
      <c r="H42" s="233"/>
      <c r="I42" s="311"/>
      <c r="J42" s="217"/>
      <c r="K42" s="218"/>
      <c r="L42" s="219"/>
      <c r="M42" s="329"/>
      <c r="O42" s="343"/>
      <c r="P42" s="343"/>
      <c r="Q42" s="343"/>
      <c r="R42" s="343"/>
    </row>
    <row r="43" spans="2:18" ht="12" customHeight="1" x14ac:dyDescent="0.25">
      <c r="B43" s="342"/>
      <c r="C43" s="352"/>
      <c r="D43" s="3"/>
      <c r="E43" s="3"/>
      <c r="F43" s="336"/>
      <c r="G43" s="338"/>
      <c r="H43" s="233"/>
      <c r="I43" s="311"/>
      <c r="J43" s="217"/>
      <c r="K43" s="218"/>
      <c r="L43" s="219"/>
      <c r="M43" s="329"/>
      <c r="O43" s="343"/>
      <c r="P43" s="343"/>
      <c r="Q43" s="343"/>
      <c r="R43" s="343"/>
    </row>
    <row r="44" spans="2:18" ht="12" customHeight="1" x14ac:dyDescent="0.25">
      <c r="B44" s="342"/>
      <c r="C44" s="761" t="s">
        <v>569</v>
      </c>
      <c r="D44" s="3" t="s">
        <v>10</v>
      </c>
      <c r="E44" s="3"/>
      <c r="F44" s="336">
        <f>7500/20</f>
        <v>375</v>
      </c>
      <c r="G44" s="171">
        <v>0</v>
      </c>
      <c r="H44" s="237">
        <f t="shared" si="0"/>
        <v>0</v>
      </c>
      <c r="I44" s="311"/>
      <c r="J44" s="217"/>
      <c r="K44" s="218"/>
      <c r="L44" s="219"/>
      <c r="M44" s="329"/>
      <c r="O44" s="343"/>
      <c r="P44" s="343"/>
      <c r="Q44" s="343"/>
      <c r="R44" s="343"/>
    </row>
    <row r="45" spans="2:18" ht="12" customHeight="1" x14ac:dyDescent="0.25">
      <c r="B45" s="342"/>
      <c r="C45" s="761"/>
      <c r="D45" s="3"/>
      <c r="E45" s="3"/>
      <c r="F45" s="336"/>
      <c r="G45" s="338"/>
      <c r="H45" s="233"/>
      <c r="I45" s="311"/>
      <c r="J45" s="217"/>
      <c r="K45" s="218"/>
      <c r="L45" s="219"/>
      <c r="M45" s="329"/>
      <c r="O45" s="343"/>
      <c r="P45" s="343"/>
      <c r="Q45" s="343"/>
      <c r="R45" s="343"/>
    </row>
    <row r="46" spans="2:18" ht="12" customHeight="1" x14ac:dyDescent="0.25">
      <c r="B46" s="342"/>
      <c r="C46" s="352"/>
      <c r="D46" s="3"/>
      <c r="E46" s="3"/>
      <c r="F46" s="336"/>
      <c r="G46" s="338"/>
      <c r="H46" s="233"/>
      <c r="I46" s="311"/>
      <c r="J46" s="217"/>
      <c r="K46" s="218"/>
      <c r="L46" s="219"/>
      <c r="M46" s="329"/>
      <c r="O46" s="343"/>
      <c r="P46" s="343"/>
      <c r="Q46" s="343"/>
      <c r="R46" s="343"/>
    </row>
    <row r="47" spans="2:18" ht="12" customHeight="1" x14ac:dyDescent="0.25">
      <c r="B47" s="342"/>
      <c r="C47" s="761" t="s">
        <v>570</v>
      </c>
      <c r="D47" s="3" t="s">
        <v>10</v>
      </c>
      <c r="E47" s="3"/>
      <c r="F47" s="336">
        <f>7500/20</f>
        <v>375</v>
      </c>
      <c r="G47" s="171">
        <v>0</v>
      </c>
      <c r="H47" s="237">
        <f t="shared" si="0"/>
        <v>0</v>
      </c>
      <c r="I47" s="311"/>
      <c r="J47" s="217"/>
      <c r="K47" s="218"/>
      <c r="L47" s="219"/>
      <c r="M47" s="329"/>
      <c r="O47" s="343"/>
      <c r="P47" s="343"/>
      <c r="Q47" s="343"/>
      <c r="R47" s="343"/>
    </row>
    <row r="48" spans="2:18" ht="12" customHeight="1" x14ac:dyDescent="0.25">
      <c r="B48" s="342"/>
      <c r="C48" s="761"/>
      <c r="D48" s="3"/>
      <c r="E48" s="3"/>
      <c r="F48" s="336"/>
      <c r="G48" s="338"/>
      <c r="H48" s="233" t="str">
        <f>IF(D48="","",F48*G48)</f>
        <v/>
      </c>
      <c r="I48" s="311"/>
      <c r="J48" s="217"/>
      <c r="K48" s="218"/>
      <c r="L48" s="219"/>
      <c r="M48" s="329"/>
      <c r="O48" s="343"/>
      <c r="P48" s="343"/>
      <c r="Q48" s="343"/>
      <c r="R48" s="343"/>
    </row>
    <row r="49" spans="2:18" ht="12" customHeight="1" x14ac:dyDescent="0.25">
      <c r="B49" s="342"/>
      <c r="C49" s="352"/>
      <c r="D49" s="3"/>
      <c r="E49" s="3"/>
      <c r="F49" s="336"/>
      <c r="G49" s="338"/>
      <c r="H49" s="233"/>
      <c r="I49" s="311"/>
      <c r="J49" s="217"/>
      <c r="K49" s="218"/>
      <c r="L49" s="219"/>
      <c r="M49" s="329"/>
      <c r="O49" s="343"/>
      <c r="P49" s="343"/>
      <c r="Q49" s="343"/>
      <c r="R49" s="343"/>
    </row>
    <row r="50" spans="2:18" ht="12" customHeight="1" x14ac:dyDescent="0.25">
      <c r="B50" s="342" t="s">
        <v>502</v>
      </c>
      <c r="C50" s="2" t="s">
        <v>501</v>
      </c>
      <c r="D50" s="3" t="s">
        <v>10</v>
      </c>
      <c r="E50" s="3"/>
      <c r="F50" s="336">
        <v>125</v>
      </c>
      <c r="G50" s="171">
        <v>0</v>
      </c>
      <c r="H50" s="237">
        <f>IF(D50="","",F50*G50)</f>
        <v>0</v>
      </c>
      <c r="I50" s="311"/>
      <c r="J50" s="217"/>
      <c r="K50" s="218"/>
      <c r="L50" s="219"/>
      <c r="M50" s="329"/>
      <c r="O50" s="343"/>
      <c r="P50" s="343"/>
      <c r="Q50" s="343"/>
      <c r="R50" s="343"/>
    </row>
    <row r="51" spans="2:18" ht="12" customHeight="1" x14ac:dyDescent="0.25">
      <c r="B51" s="7"/>
      <c r="C51" s="352"/>
      <c r="D51" s="3"/>
      <c r="E51" s="3"/>
      <c r="F51" s="336"/>
      <c r="G51" s="338"/>
      <c r="H51" s="233" t="str">
        <f t="shared" si="0"/>
        <v/>
      </c>
      <c r="J51" s="217"/>
      <c r="K51" s="218"/>
      <c r="L51" s="219"/>
      <c r="M51" s="329"/>
      <c r="O51" s="48"/>
      <c r="P51" s="48"/>
      <c r="Q51" s="48"/>
      <c r="R51" s="48"/>
    </row>
    <row r="52" spans="2:18" ht="12" customHeight="1" x14ac:dyDescent="0.25">
      <c r="B52" s="342" t="s">
        <v>358</v>
      </c>
      <c r="C52" s="356" t="s">
        <v>503</v>
      </c>
      <c r="D52" s="3" t="s">
        <v>653</v>
      </c>
      <c r="E52" s="3" t="s">
        <v>30</v>
      </c>
      <c r="F52" s="336">
        <v>1050</v>
      </c>
      <c r="G52" s="171">
        <v>0</v>
      </c>
      <c r="H52" s="237">
        <f t="shared" si="0"/>
        <v>0</v>
      </c>
      <c r="J52" s="218"/>
      <c r="K52" s="218"/>
      <c r="L52" s="219"/>
      <c r="M52" s="329"/>
      <c r="O52" s="48"/>
      <c r="P52" s="48"/>
      <c r="Q52" s="48"/>
      <c r="R52" s="48"/>
    </row>
    <row r="53" spans="2:18" ht="12" customHeight="1" x14ac:dyDescent="0.25">
      <c r="B53" s="342"/>
      <c r="C53" s="352"/>
      <c r="D53" s="3"/>
      <c r="E53" s="3"/>
      <c r="F53" s="336"/>
      <c r="G53" s="357"/>
      <c r="H53" s="233" t="str">
        <f t="shared" si="0"/>
        <v/>
      </c>
      <c r="J53" s="218"/>
      <c r="K53" s="218"/>
      <c r="L53" s="219"/>
      <c r="M53" s="329"/>
      <c r="O53" s="48"/>
      <c r="P53" s="48"/>
      <c r="Q53" s="48"/>
      <c r="R53" s="48"/>
    </row>
    <row r="54" spans="2:18" ht="12" customHeight="1" x14ac:dyDescent="0.25">
      <c r="B54" s="342" t="s">
        <v>359</v>
      </c>
      <c r="C54" s="352" t="s">
        <v>360</v>
      </c>
      <c r="D54" s="3" t="s">
        <v>653</v>
      </c>
      <c r="E54" s="3" t="s">
        <v>30</v>
      </c>
      <c r="F54" s="336">
        <v>525</v>
      </c>
      <c r="G54" s="171">
        <v>0</v>
      </c>
      <c r="H54" s="237">
        <f t="shared" si="0"/>
        <v>0</v>
      </c>
      <c r="J54" s="217"/>
      <c r="K54" s="218"/>
      <c r="L54" s="219"/>
      <c r="M54" s="329"/>
      <c r="O54" s="48"/>
      <c r="P54" s="48"/>
      <c r="Q54" s="48"/>
      <c r="R54" s="48"/>
    </row>
    <row r="55" spans="2:18" ht="12" customHeight="1" x14ac:dyDescent="0.25">
      <c r="B55" s="342"/>
      <c r="C55" s="352"/>
      <c r="D55" s="3"/>
      <c r="E55" s="3"/>
      <c r="F55" s="336"/>
      <c r="G55" s="357"/>
      <c r="H55" s="233" t="str">
        <f t="shared" si="0"/>
        <v/>
      </c>
      <c r="J55" s="217"/>
      <c r="K55" s="218"/>
      <c r="L55" s="219"/>
      <c r="M55" s="329"/>
      <c r="O55" s="48"/>
      <c r="P55" s="48"/>
      <c r="Q55" s="48"/>
      <c r="R55" s="48"/>
    </row>
    <row r="56" spans="2:18" ht="12" customHeight="1" x14ac:dyDescent="0.25">
      <c r="B56" s="342" t="s">
        <v>361</v>
      </c>
      <c r="C56" s="352" t="s">
        <v>362</v>
      </c>
      <c r="D56" s="3"/>
      <c r="E56" s="3"/>
      <c r="F56" s="336"/>
      <c r="G56" s="357"/>
      <c r="H56" s="233" t="str">
        <f t="shared" si="0"/>
        <v/>
      </c>
      <c r="J56" s="217"/>
      <c r="K56" s="218"/>
      <c r="L56" s="219"/>
      <c r="M56" s="329"/>
      <c r="O56" s="48"/>
      <c r="P56" s="48"/>
      <c r="Q56" s="48"/>
      <c r="R56" s="48"/>
    </row>
    <row r="57" spans="2:18" ht="12" customHeight="1" x14ac:dyDescent="0.25">
      <c r="B57" s="342"/>
      <c r="C57" s="352"/>
      <c r="D57" s="3"/>
      <c r="E57" s="3"/>
      <c r="F57" s="336"/>
      <c r="G57" s="357"/>
      <c r="H57" s="233"/>
      <c r="J57" s="217"/>
      <c r="K57" s="218"/>
      <c r="L57" s="219"/>
      <c r="M57" s="329"/>
      <c r="O57" s="48"/>
      <c r="P57" s="48"/>
      <c r="Q57" s="48"/>
      <c r="R57" s="48"/>
    </row>
    <row r="58" spans="2:18" ht="12" customHeight="1" x14ac:dyDescent="0.25">
      <c r="B58" s="342"/>
      <c r="C58" s="761" t="s">
        <v>504</v>
      </c>
      <c r="D58" s="3" t="s">
        <v>10</v>
      </c>
      <c r="E58" s="3"/>
      <c r="F58" s="336">
        <v>4</v>
      </c>
      <c r="G58" s="171">
        <v>0</v>
      </c>
      <c r="H58" s="237">
        <f t="shared" si="0"/>
        <v>0</v>
      </c>
      <c r="J58" s="217"/>
      <c r="K58" s="218"/>
      <c r="L58" s="219"/>
      <c r="M58" s="329"/>
      <c r="O58" s="48"/>
      <c r="P58" s="48"/>
      <c r="Q58" s="48"/>
      <c r="R58" s="48"/>
    </row>
    <row r="59" spans="2:18" ht="12" customHeight="1" x14ac:dyDescent="0.25">
      <c r="B59" s="342"/>
      <c r="C59" s="761"/>
      <c r="D59" s="3"/>
      <c r="E59" s="3"/>
      <c r="F59" s="336"/>
      <c r="G59" s="357"/>
      <c r="H59" s="233"/>
      <c r="J59" s="217"/>
      <c r="K59" s="218"/>
      <c r="L59" s="219"/>
      <c r="M59" s="329"/>
      <c r="O59" s="48"/>
      <c r="P59" s="48"/>
      <c r="Q59" s="48"/>
      <c r="R59" s="48"/>
    </row>
    <row r="60" spans="2:18" ht="12" customHeight="1" x14ac:dyDescent="0.25">
      <c r="B60" s="342"/>
      <c r="C60" s="352"/>
      <c r="D60" s="314"/>
      <c r="E60" s="3"/>
      <c r="F60" s="314"/>
      <c r="G60" s="357"/>
      <c r="H60" s="233"/>
      <c r="J60" s="217"/>
      <c r="K60" s="218"/>
      <c r="L60" s="219"/>
      <c r="M60" s="329"/>
      <c r="O60" s="48"/>
      <c r="P60" s="48"/>
      <c r="Q60" s="48"/>
      <c r="R60" s="48"/>
    </row>
    <row r="61" spans="2:18" ht="12" customHeight="1" x14ac:dyDescent="0.25">
      <c r="B61" s="342"/>
      <c r="C61" s="352" t="s">
        <v>365</v>
      </c>
      <c r="D61" s="3" t="s">
        <v>10</v>
      </c>
      <c r="E61" s="3"/>
      <c r="F61" s="336">
        <v>4</v>
      </c>
      <c r="G61" s="171">
        <v>0</v>
      </c>
      <c r="H61" s="237">
        <f t="shared" si="0"/>
        <v>0</v>
      </c>
      <c r="J61" s="217"/>
      <c r="K61" s="218"/>
      <c r="L61" s="219"/>
      <c r="M61" s="329"/>
      <c r="O61" s="48"/>
      <c r="P61" s="48"/>
      <c r="Q61" s="48"/>
      <c r="R61" s="48"/>
    </row>
    <row r="62" spans="2:18" ht="12" customHeight="1" x14ac:dyDescent="0.25">
      <c r="B62" s="342"/>
      <c r="C62" s="352"/>
      <c r="D62" s="3"/>
      <c r="E62" s="3"/>
      <c r="F62" s="336"/>
      <c r="G62" s="357"/>
      <c r="H62" s="233" t="str">
        <f t="shared" si="0"/>
        <v/>
      </c>
      <c r="J62" s="217"/>
      <c r="K62" s="218"/>
      <c r="L62" s="219"/>
      <c r="M62" s="329"/>
      <c r="O62" s="48"/>
      <c r="P62" s="48"/>
      <c r="Q62" s="48"/>
      <c r="R62" s="48"/>
    </row>
    <row r="63" spans="2:18" ht="12" customHeight="1" x14ac:dyDescent="0.25">
      <c r="B63" s="342"/>
      <c r="C63" s="352" t="s">
        <v>571</v>
      </c>
      <c r="D63" s="3" t="s">
        <v>10</v>
      </c>
      <c r="E63" s="3"/>
      <c r="F63" s="336">
        <v>12</v>
      </c>
      <c r="G63" s="171">
        <v>0</v>
      </c>
      <c r="H63" s="237">
        <f t="shared" si="0"/>
        <v>0</v>
      </c>
      <c r="J63" s="217"/>
      <c r="K63" s="218"/>
      <c r="L63" s="219"/>
      <c r="M63" s="329"/>
      <c r="O63" s="48"/>
      <c r="P63" s="48"/>
      <c r="Q63" s="48"/>
      <c r="R63" s="48"/>
    </row>
    <row r="64" spans="2:18" ht="12" customHeight="1" x14ac:dyDescent="0.25">
      <c r="B64" s="342"/>
      <c r="C64" s="352"/>
      <c r="D64" s="3"/>
      <c r="E64" s="3"/>
      <c r="F64" s="336"/>
      <c r="G64" s="357"/>
      <c r="H64" s="233"/>
      <c r="J64" s="217"/>
      <c r="K64" s="218"/>
      <c r="L64" s="219"/>
      <c r="M64" s="329"/>
      <c r="O64" s="48"/>
      <c r="P64" s="48"/>
      <c r="Q64" s="48"/>
      <c r="R64" s="48"/>
    </row>
    <row r="65" spans="2:18" ht="12" customHeight="1" x14ac:dyDescent="0.25">
      <c r="B65" s="342"/>
      <c r="C65" s="352" t="s">
        <v>572</v>
      </c>
      <c r="D65" s="3" t="s">
        <v>10</v>
      </c>
      <c r="E65" s="3"/>
      <c r="F65" s="336">
        <v>12</v>
      </c>
      <c r="G65" s="171">
        <v>0</v>
      </c>
      <c r="H65" s="237">
        <f t="shared" si="0"/>
        <v>0</v>
      </c>
      <c r="J65" s="217"/>
      <c r="K65" s="218"/>
      <c r="L65" s="219"/>
      <c r="M65" s="329"/>
      <c r="O65" s="48"/>
      <c r="P65" s="48"/>
      <c r="Q65" s="48"/>
      <c r="R65" s="48"/>
    </row>
    <row r="66" spans="2:18" ht="12" customHeight="1" x14ac:dyDescent="0.25">
      <c r="B66" s="342"/>
      <c r="C66" s="352"/>
      <c r="D66" s="3"/>
      <c r="E66" s="3"/>
      <c r="F66" s="336"/>
      <c r="G66" s="357"/>
      <c r="H66" s="233"/>
      <c r="J66" s="217"/>
      <c r="K66" s="218"/>
      <c r="L66" s="219"/>
      <c r="M66" s="329"/>
      <c r="O66" s="48"/>
      <c r="P66" s="48"/>
      <c r="Q66" s="48"/>
      <c r="R66" s="48"/>
    </row>
    <row r="67" spans="2:18" ht="12" customHeight="1" x14ac:dyDescent="0.25">
      <c r="B67" s="342"/>
      <c r="C67" s="352" t="s">
        <v>506</v>
      </c>
      <c r="D67" s="3" t="s">
        <v>10</v>
      </c>
      <c r="E67" s="3"/>
      <c r="F67" s="336">
        <v>5</v>
      </c>
      <c r="G67" s="171">
        <v>0</v>
      </c>
      <c r="H67" s="237">
        <f t="shared" si="0"/>
        <v>0</v>
      </c>
      <c r="J67" s="217"/>
      <c r="K67" s="218"/>
      <c r="L67" s="219"/>
      <c r="M67" s="329"/>
      <c r="O67" s="48"/>
      <c r="P67" s="48"/>
      <c r="Q67" s="48"/>
      <c r="R67" s="48"/>
    </row>
    <row r="68" spans="2:18" ht="12" customHeight="1" x14ac:dyDescent="0.25">
      <c r="B68" s="342"/>
      <c r="C68" s="352"/>
      <c r="D68" s="3"/>
      <c r="E68" s="3"/>
      <c r="F68" s="336"/>
      <c r="G68" s="357"/>
      <c r="H68" s="233"/>
      <c r="J68" s="217"/>
      <c r="K68" s="218"/>
      <c r="L68" s="219"/>
      <c r="M68" s="329"/>
      <c r="O68" s="48"/>
      <c r="P68" s="48"/>
      <c r="Q68" s="48"/>
      <c r="R68" s="48"/>
    </row>
    <row r="69" spans="2:18" ht="12" customHeight="1" x14ac:dyDescent="0.25">
      <c r="B69" s="342"/>
      <c r="C69" s="761" t="s">
        <v>505</v>
      </c>
      <c r="D69" s="3" t="s">
        <v>8</v>
      </c>
      <c r="E69" s="3"/>
      <c r="F69" s="336">
        <v>12</v>
      </c>
      <c r="G69" s="171">
        <v>0</v>
      </c>
      <c r="H69" s="237">
        <f t="shared" si="0"/>
        <v>0</v>
      </c>
      <c r="J69" s="217"/>
      <c r="K69" s="218"/>
      <c r="L69" s="219"/>
      <c r="M69" s="329"/>
      <c r="O69" s="48"/>
      <c r="P69" s="48"/>
      <c r="Q69" s="48"/>
      <c r="R69" s="48"/>
    </row>
    <row r="70" spans="2:18" ht="12" customHeight="1" x14ac:dyDescent="0.25">
      <c r="B70" s="342"/>
      <c r="C70" s="761"/>
      <c r="D70" s="3"/>
      <c r="E70" s="3"/>
      <c r="F70" s="336"/>
      <c r="G70" s="357"/>
      <c r="H70" s="233" t="str">
        <f t="shared" si="0"/>
        <v/>
      </c>
      <c r="J70" s="217"/>
      <c r="K70" s="218"/>
      <c r="L70" s="219"/>
      <c r="M70" s="329"/>
      <c r="O70" s="48"/>
      <c r="P70" s="48"/>
      <c r="Q70" s="48"/>
      <c r="R70" s="48"/>
    </row>
    <row r="71" spans="2:18" ht="12" customHeight="1" x14ac:dyDescent="0.25">
      <c r="B71" s="342"/>
      <c r="C71" s="352"/>
      <c r="D71" s="3"/>
      <c r="E71" s="3"/>
      <c r="F71" s="336"/>
      <c r="G71" s="357"/>
      <c r="H71" s="233"/>
      <c r="J71" s="217"/>
      <c r="K71" s="218"/>
      <c r="L71" s="219"/>
      <c r="M71" s="329"/>
      <c r="O71" s="48"/>
      <c r="P71" s="48"/>
      <c r="Q71" s="48"/>
      <c r="R71" s="48"/>
    </row>
    <row r="72" spans="2:18" ht="12" customHeight="1" x14ac:dyDescent="0.25">
      <c r="B72" s="342"/>
      <c r="C72" s="352"/>
      <c r="D72" s="3"/>
      <c r="E72" s="3"/>
      <c r="F72" s="336"/>
      <c r="G72" s="357"/>
      <c r="H72" s="233"/>
      <c r="J72" s="217"/>
      <c r="K72" s="218"/>
      <c r="L72" s="219"/>
      <c r="M72" s="329"/>
      <c r="O72" s="48"/>
      <c r="P72" s="48"/>
      <c r="Q72" s="48"/>
      <c r="R72" s="48"/>
    </row>
    <row r="73" spans="2:18" ht="12" customHeight="1" x14ac:dyDescent="0.25">
      <c r="B73" s="342" t="s">
        <v>363</v>
      </c>
      <c r="C73" s="352" t="s">
        <v>364</v>
      </c>
      <c r="D73" s="3"/>
      <c r="E73" s="3"/>
      <c r="F73" s="336"/>
      <c r="G73" s="357"/>
      <c r="H73" s="233" t="str">
        <f t="shared" si="0"/>
        <v/>
      </c>
      <c r="J73" s="217"/>
      <c r="K73" s="218"/>
      <c r="L73" s="219"/>
      <c r="M73" s="329"/>
      <c r="O73" s="48"/>
      <c r="P73" s="48"/>
      <c r="Q73" s="48"/>
      <c r="R73" s="48"/>
    </row>
    <row r="74" spans="2:18" ht="12" customHeight="1" x14ac:dyDescent="0.25">
      <c r="B74" s="342"/>
      <c r="C74" s="352"/>
      <c r="D74" s="3"/>
      <c r="E74" s="3"/>
      <c r="F74" s="336"/>
      <c r="G74" s="357"/>
      <c r="H74" s="233" t="str">
        <f t="shared" si="0"/>
        <v/>
      </c>
      <c r="J74" s="217"/>
      <c r="K74" s="218"/>
      <c r="L74" s="219"/>
      <c r="M74" s="329"/>
      <c r="O74" s="48"/>
      <c r="P74" s="48"/>
      <c r="Q74" s="48"/>
      <c r="R74" s="48"/>
    </row>
    <row r="75" spans="2:18" ht="12" customHeight="1" x14ac:dyDescent="0.25">
      <c r="B75" s="342"/>
      <c r="C75" s="761" t="s">
        <v>504</v>
      </c>
      <c r="D75" s="3" t="s">
        <v>197</v>
      </c>
      <c r="E75" s="3"/>
      <c r="F75" s="336">
        <v>12</v>
      </c>
      <c r="G75" s="171">
        <v>0</v>
      </c>
      <c r="H75" s="237">
        <f t="shared" si="0"/>
        <v>0</v>
      </c>
      <c r="J75" s="217"/>
      <c r="K75" s="218"/>
      <c r="L75" s="219"/>
      <c r="M75" s="329"/>
      <c r="O75" s="48"/>
      <c r="P75" s="48"/>
      <c r="Q75" s="48"/>
      <c r="R75" s="48"/>
    </row>
    <row r="76" spans="2:18" ht="12" customHeight="1" x14ac:dyDescent="0.25">
      <c r="B76" s="342"/>
      <c r="C76" s="761"/>
      <c r="D76" s="3"/>
      <c r="E76" s="3"/>
      <c r="F76" s="336"/>
      <c r="G76" s="357"/>
      <c r="H76" s="233" t="str">
        <f t="shared" si="0"/>
        <v/>
      </c>
      <c r="J76" s="217"/>
      <c r="K76" s="218"/>
      <c r="L76" s="219"/>
      <c r="M76" s="329"/>
      <c r="O76" s="48"/>
      <c r="P76" s="48"/>
      <c r="Q76" s="48"/>
      <c r="R76" s="48"/>
    </row>
    <row r="77" spans="2:18" ht="12" customHeight="1" x14ac:dyDescent="0.25">
      <c r="B77" s="342"/>
      <c r="C77" s="352"/>
      <c r="D77" s="3"/>
      <c r="E77" s="3"/>
      <c r="F77" s="336"/>
      <c r="G77" s="357"/>
      <c r="H77" s="233"/>
      <c r="J77" s="217"/>
      <c r="K77" s="218"/>
      <c r="L77" s="219"/>
      <c r="M77" s="329"/>
      <c r="O77" s="48"/>
      <c r="P77" s="48"/>
      <c r="Q77" s="48"/>
      <c r="R77" s="48"/>
    </row>
    <row r="78" spans="2:18" ht="12" customHeight="1" x14ac:dyDescent="0.25">
      <c r="B78" s="342"/>
      <c r="C78" s="352" t="s">
        <v>365</v>
      </c>
      <c r="D78" s="3" t="s">
        <v>197</v>
      </c>
      <c r="E78" s="3"/>
      <c r="F78" s="336">
        <v>12</v>
      </c>
      <c r="G78" s="171">
        <v>0</v>
      </c>
      <c r="H78" s="237">
        <f t="shared" si="0"/>
        <v>0</v>
      </c>
      <c r="J78" s="217"/>
      <c r="K78" s="218"/>
      <c r="L78" s="219"/>
      <c r="M78" s="329"/>
      <c r="O78" s="48"/>
      <c r="P78" s="48"/>
      <c r="Q78" s="48"/>
      <c r="R78" s="48"/>
    </row>
    <row r="79" spans="2:18" ht="12" customHeight="1" x14ac:dyDescent="0.25">
      <c r="B79" s="342"/>
      <c r="C79" s="352"/>
      <c r="D79" s="3"/>
      <c r="E79" s="3"/>
      <c r="F79" s="336"/>
      <c r="G79" s="357"/>
      <c r="H79" s="233" t="str">
        <f t="shared" si="0"/>
        <v/>
      </c>
      <c r="J79" s="217"/>
      <c r="K79" s="218"/>
      <c r="L79" s="219"/>
      <c r="M79" s="329"/>
      <c r="O79" s="48"/>
      <c r="P79" s="48"/>
      <c r="Q79" s="48"/>
      <c r="R79" s="48"/>
    </row>
    <row r="80" spans="2:18" ht="12" customHeight="1" x14ac:dyDescent="0.25">
      <c r="B80" s="342"/>
      <c r="C80" s="352" t="s">
        <v>571</v>
      </c>
      <c r="D80" s="3" t="s">
        <v>197</v>
      </c>
      <c r="E80" s="3"/>
      <c r="F80" s="336">
        <v>12</v>
      </c>
      <c r="G80" s="171">
        <v>0</v>
      </c>
      <c r="H80" s="237">
        <f t="shared" si="0"/>
        <v>0</v>
      </c>
      <c r="J80" s="217"/>
      <c r="K80" s="218"/>
      <c r="L80" s="219"/>
      <c r="M80" s="329"/>
      <c r="O80" s="48"/>
      <c r="P80" s="48"/>
      <c r="Q80" s="48"/>
      <c r="R80" s="48"/>
    </row>
    <row r="81" spans="2:18" ht="12" customHeight="1" x14ac:dyDescent="0.25">
      <c r="B81" s="342"/>
      <c r="C81" s="352"/>
      <c r="D81" s="3"/>
      <c r="E81" s="3"/>
      <c r="F81" s="336"/>
      <c r="G81" s="357"/>
      <c r="H81" s="233" t="str">
        <f t="shared" si="0"/>
        <v/>
      </c>
      <c r="J81" s="217"/>
      <c r="K81" s="218"/>
      <c r="L81" s="219"/>
      <c r="M81" s="329"/>
      <c r="O81" s="48"/>
      <c r="P81" s="48"/>
      <c r="Q81" s="48"/>
      <c r="R81" s="48"/>
    </row>
    <row r="82" spans="2:18" ht="12" customHeight="1" x14ac:dyDescent="0.25">
      <c r="B82" s="342"/>
      <c r="C82" s="352" t="s">
        <v>572</v>
      </c>
      <c r="D82" s="3" t="s">
        <v>34</v>
      </c>
      <c r="E82" s="3"/>
      <c r="F82" s="336">
        <v>12</v>
      </c>
      <c r="G82" s="171">
        <v>0</v>
      </c>
      <c r="H82" s="237">
        <f t="shared" si="0"/>
        <v>0</v>
      </c>
      <c r="J82" s="217"/>
      <c r="K82" s="218"/>
      <c r="L82" s="219"/>
      <c r="M82" s="329"/>
      <c r="O82" s="48"/>
      <c r="P82" s="48"/>
      <c r="Q82" s="48"/>
      <c r="R82" s="48"/>
    </row>
    <row r="83" spans="2:18" ht="12" customHeight="1" x14ac:dyDescent="0.25">
      <c r="B83" s="342"/>
      <c r="C83" s="352"/>
      <c r="D83" s="3"/>
      <c r="E83" s="3"/>
      <c r="F83" s="336"/>
      <c r="G83" s="357"/>
      <c r="H83" s="233"/>
      <c r="J83" s="217"/>
      <c r="K83" s="218"/>
      <c r="L83" s="219"/>
      <c r="M83" s="329"/>
      <c r="O83" s="48"/>
      <c r="P83" s="48"/>
      <c r="Q83" s="48"/>
      <c r="R83" s="48"/>
    </row>
    <row r="84" spans="2:18" ht="12" customHeight="1" x14ac:dyDescent="0.25">
      <c r="B84" s="342"/>
      <c r="C84" s="352" t="s">
        <v>506</v>
      </c>
      <c r="D84" s="3" t="s">
        <v>34</v>
      </c>
      <c r="E84" s="3"/>
      <c r="F84" s="336">
        <v>12</v>
      </c>
      <c r="G84" s="171">
        <v>0</v>
      </c>
      <c r="H84" s="237">
        <f t="shared" ref="H84" si="3">IF(D84="","",F84*G84)</f>
        <v>0</v>
      </c>
      <c r="J84" s="217"/>
      <c r="K84" s="218"/>
      <c r="L84" s="219"/>
      <c r="M84" s="329"/>
      <c r="O84" s="48"/>
      <c r="P84" s="48"/>
      <c r="Q84" s="48"/>
      <c r="R84" s="48"/>
    </row>
    <row r="85" spans="2:18" ht="12" customHeight="1" x14ac:dyDescent="0.25">
      <c r="B85" s="342"/>
      <c r="C85" s="352"/>
      <c r="D85" s="3"/>
      <c r="E85" s="3"/>
      <c r="F85" s="336"/>
      <c r="G85" s="357"/>
      <c r="H85" s="233"/>
      <c r="J85" s="217"/>
      <c r="K85" s="218"/>
      <c r="L85" s="219"/>
      <c r="M85" s="329"/>
      <c r="O85" s="48"/>
      <c r="P85" s="48"/>
      <c r="Q85" s="48"/>
      <c r="R85" s="48"/>
    </row>
    <row r="86" spans="2:18" ht="12" customHeight="1" x14ac:dyDescent="0.25">
      <c r="B86" s="342"/>
      <c r="C86" s="761" t="s">
        <v>505</v>
      </c>
      <c r="D86" s="3" t="s">
        <v>34</v>
      </c>
      <c r="E86" s="3"/>
      <c r="F86" s="336">
        <v>12</v>
      </c>
      <c r="G86" s="171">
        <v>0</v>
      </c>
      <c r="H86" s="237">
        <f t="shared" ref="H86" si="4">IF(D86="","",F86*G86)</f>
        <v>0</v>
      </c>
      <c r="J86" s="217"/>
      <c r="K86" s="218"/>
      <c r="L86" s="219"/>
      <c r="M86" s="329"/>
      <c r="O86" s="48"/>
      <c r="P86" s="48"/>
      <c r="Q86" s="48"/>
      <c r="R86" s="48"/>
    </row>
    <row r="87" spans="2:18" ht="12" customHeight="1" x14ac:dyDescent="0.25">
      <c r="B87" s="342"/>
      <c r="C87" s="761"/>
      <c r="D87" s="3"/>
      <c r="E87" s="3"/>
      <c r="F87" s="336"/>
      <c r="G87" s="357"/>
      <c r="H87" s="233"/>
      <c r="J87" s="217"/>
      <c r="K87" s="218"/>
      <c r="L87" s="219"/>
      <c r="M87" s="329"/>
      <c r="O87" s="48"/>
      <c r="P87" s="48"/>
      <c r="Q87" s="48"/>
      <c r="R87" s="48"/>
    </row>
    <row r="88" spans="2:18" ht="12" customHeight="1" x14ac:dyDescent="0.25">
      <c r="B88" s="342"/>
      <c r="C88" s="352"/>
      <c r="D88" s="3"/>
      <c r="E88" s="3"/>
      <c r="F88" s="336"/>
      <c r="G88" s="357"/>
      <c r="H88" s="233"/>
      <c r="J88" s="217"/>
      <c r="K88" s="218"/>
      <c r="L88" s="219"/>
      <c r="M88" s="329"/>
      <c r="O88" s="48"/>
      <c r="P88" s="48"/>
      <c r="Q88" s="48"/>
      <c r="R88" s="48"/>
    </row>
    <row r="89" spans="2:18" ht="12" customHeight="1" x14ac:dyDescent="0.25">
      <c r="B89" s="342" t="s">
        <v>507</v>
      </c>
      <c r="C89" s="352" t="s">
        <v>508</v>
      </c>
      <c r="D89" s="3"/>
      <c r="E89" s="3"/>
      <c r="F89" s="336"/>
      <c r="G89" s="357"/>
      <c r="H89" s="339"/>
      <c r="J89" s="217"/>
      <c r="K89" s="218"/>
      <c r="L89" s="219"/>
      <c r="M89" s="329"/>
      <c r="O89" s="48"/>
      <c r="P89" s="48"/>
      <c r="Q89" s="48"/>
      <c r="R89" s="48"/>
    </row>
    <row r="90" spans="2:18" ht="12" customHeight="1" x14ac:dyDescent="0.25">
      <c r="B90" s="342"/>
      <c r="C90" s="352"/>
      <c r="D90" s="3"/>
      <c r="E90" s="3"/>
      <c r="F90" s="336"/>
      <c r="G90" s="357"/>
      <c r="H90" s="339"/>
      <c r="J90" s="217"/>
      <c r="K90" s="218"/>
      <c r="L90" s="219"/>
      <c r="M90" s="329"/>
      <c r="O90" s="48"/>
      <c r="P90" s="48"/>
      <c r="Q90" s="48"/>
      <c r="R90" s="48"/>
    </row>
    <row r="91" spans="2:18" ht="12" customHeight="1" x14ac:dyDescent="0.25">
      <c r="B91" s="342"/>
      <c r="C91" s="352" t="s">
        <v>509</v>
      </c>
      <c r="D91" s="3" t="s">
        <v>15</v>
      </c>
      <c r="E91" s="3" t="s">
        <v>30</v>
      </c>
      <c r="F91" s="336">
        <v>250</v>
      </c>
      <c r="G91" s="171">
        <v>0</v>
      </c>
      <c r="H91" s="337">
        <f t="shared" ref="H91" si="5">IF(D91="","",F91*G91)</f>
        <v>0</v>
      </c>
      <c r="J91" s="217"/>
      <c r="K91" s="218"/>
      <c r="L91" s="219"/>
      <c r="M91" s="329"/>
      <c r="O91" s="48"/>
      <c r="P91" s="48"/>
      <c r="Q91" s="48"/>
      <c r="R91" s="48"/>
    </row>
    <row r="92" spans="2:18" ht="12" customHeight="1" x14ac:dyDescent="0.25">
      <c r="B92" s="342"/>
      <c r="C92" s="352"/>
      <c r="D92" s="3"/>
      <c r="E92" s="3"/>
      <c r="F92" s="336"/>
      <c r="G92" s="357"/>
      <c r="H92" s="339"/>
      <c r="J92" s="217"/>
      <c r="K92" s="218"/>
      <c r="L92" s="219"/>
      <c r="M92" s="329"/>
      <c r="O92" s="48"/>
      <c r="P92" s="48"/>
      <c r="Q92" s="48"/>
      <c r="R92" s="48"/>
    </row>
    <row r="93" spans="2:18" ht="12" customHeight="1" x14ac:dyDescent="0.25">
      <c r="B93" s="342"/>
      <c r="C93" s="352" t="s">
        <v>510</v>
      </c>
      <c r="D93" s="3" t="s">
        <v>15</v>
      </c>
      <c r="E93" s="3" t="s">
        <v>30</v>
      </c>
      <c r="F93" s="336">
        <v>125</v>
      </c>
      <c r="G93" s="171">
        <v>0</v>
      </c>
      <c r="H93" s="337">
        <f t="shared" ref="H93" si="6">IF(D93="","",F93*G93)</f>
        <v>0</v>
      </c>
      <c r="J93" s="217"/>
      <c r="K93" s="218"/>
      <c r="L93" s="219"/>
      <c r="M93" s="329"/>
      <c r="O93" s="48"/>
      <c r="P93" s="48"/>
      <c r="Q93" s="48"/>
      <c r="R93" s="48"/>
    </row>
    <row r="94" spans="2:18" ht="12" customHeight="1" x14ac:dyDescent="0.25">
      <c r="B94" s="342"/>
      <c r="C94" s="352"/>
      <c r="D94" s="3"/>
      <c r="E94" s="3"/>
      <c r="F94" s="336"/>
      <c r="G94" s="357"/>
      <c r="H94" s="339"/>
      <c r="J94" s="217"/>
      <c r="K94" s="218"/>
      <c r="L94" s="219"/>
      <c r="M94" s="329"/>
      <c r="O94" s="48"/>
      <c r="P94" s="48"/>
      <c r="Q94" s="48"/>
      <c r="R94" s="48"/>
    </row>
    <row r="95" spans="2:18" ht="23.4" customHeight="1" x14ac:dyDescent="0.25">
      <c r="B95" s="342"/>
      <c r="C95" s="352" t="s">
        <v>511</v>
      </c>
      <c r="D95" s="3" t="s">
        <v>15</v>
      </c>
      <c r="E95" s="3" t="s">
        <v>30</v>
      </c>
      <c r="F95" s="336">
        <v>125</v>
      </c>
      <c r="G95" s="171">
        <v>0</v>
      </c>
      <c r="H95" s="337">
        <f t="shared" ref="H95" si="7">IF(D95="","",F95*G95)</f>
        <v>0</v>
      </c>
      <c r="J95" s="217"/>
      <c r="K95" s="218"/>
      <c r="L95" s="219"/>
      <c r="M95" s="329"/>
      <c r="O95" s="48"/>
      <c r="P95" s="48"/>
      <c r="Q95" s="48"/>
      <c r="R95" s="48"/>
    </row>
    <row r="96" spans="2:18" ht="12" customHeight="1" x14ac:dyDescent="0.25">
      <c r="B96" s="342"/>
      <c r="C96" s="352"/>
      <c r="D96" s="3"/>
      <c r="E96" s="3"/>
      <c r="F96" s="336"/>
      <c r="G96" s="357"/>
      <c r="H96" s="233"/>
      <c r="J96" s="217"/>
      <c r="K96" s="218"/>
      <c r="L96" s="219"/>
      <c r="M96" s="329"/>
      <c r="O96" s="48"/>
      <c r="P96" s="48"/>
      <c r="Q96" s="48"/>
      <c r="R96" s="48"/>
    </row>
    <row r="97" spans="2:18" ht="12" customHeight="1" x14ac:dyDescent="0.25">
      <c r="B97" s="342" t="s">
        <v>366</v>
      </c>
      <c r="C97" s="352" t="s">
        <v>367</v>
      </c>
      <c r="D97" s="3" t="s">
        <v>197</v>
      </c>
      <c r="E97" s="3"/>
      <c r="F97" s="336">
        <v>12</v>
      </c>
      <c r="G97" s="171">
        <v>0</v>
      </c>
      <c r="H97" s="237">
        <f t="shared" si="0"/>
        <v>0</v>
      </c>
      <c r="J97" s="217"/>
      <c r="K97" s="218"/>
      <c r="L97" s="219"/>
      <c r="M97" s="329"/>
      <c r="O97" s="48"/>
      <c r="P97" s="48"/>
      <c r="Q97" s="48"/>
      <c r="R97" s="48"/>
    </row>
    <row r="98" spans="2:18" ht="12" customHeight="1" x14ac:dyDescent="0.25">
      <c r="B98" s="342"/>
      <c r="C98" s="352"/>
      <c r="D98" s="3"/>
      <c r="E98" s="3"/>
      <c r="F98" s="336"/>
      <c r="G98" s="357"/>
      <c r="H98" s="233"/>
      <c r="J98" s="217"/>
      <c r="K98" s="218"/>
      <c r="L98" s="219"/>
      <c r="M98" s="329"/>
      <c r="O98" s="48"/>
      <c r="P98" s="48"/>
      <c r="Q98" s="48"/>
      <c r="R98" s="48"/>
    </row>
    <row r="99" spans="2:18" ht="12" customHeight="1" x14ac:dyDescent="0.25">
      <c r="B99" s="342"/>
      <c r="C99" s="352"/>
      <c r="D99" s="3"/>
      <c r="E99" s="3"/>
      <c r="F99" s="336"/>
      <c r="G99" s="357"/>
      <c r="H99" s="233"/>
      <c r="J99" s="217"/>
      <c r="K99" s="218"/>
      <c r="L99" s="219"/>
      <c r="M99" s="329"/>
      <c r="O99" s="48"/>
      <c r="P99" s="48"/>
      <c r="Q99" s="48"/>
      <c r="R99" s="48"/>
    </row>
    <row r="100" spans="2:18" ht="20" customHeight="1" x14ac:dyDescent="0.25">
      <c r="B100" s="342" t="s">
        <v>368</v>
      </c>
      <c r="C100" s="352" t="s">
        <v>369</v>
      </c>
      <c r="D100" s="3" t="s">
        <v>512</v>
      </c>
      <c r="E100" s="3"/>
      <c r="F100" s="336">
        <v>12</v>
      </c>
      <c r="G100" s="171">
        <v>0</v>
      </c>
      <c r="H100" s="237">
        <f t="shared" si="0"/>
        <v>0</v>
      </c>
      <c r="J100" s="217"/>
      <c r="K100" s="218"/>
      <c r="L100" s="219"/>
      <c r="M100" s="329"/>
      <c r="Q100" s="358"/>
    </row>
    <row r="101" spans="2:18" ht="12" customHeight="1" x14ac:dyDescent="0.25">
      <c r="B101" s="342"/>
      <c r="C101" s="352"/>
      <c r="D101" s="3"/>
      <c r="E101" s="3"/>
      <c r="F101" s="359"/>
      <c r="G101" s="357"/>
      <c r="H101" s="233"/>
      <c r="J101" s="217"/>
      <c r="K101" s="218"/>
      <c r="L101" s="219"/>
      <c r="M101" s="329"/>
      <c r="Q101" s="358"/>
    </row>
    <row r="102" spans="2:18" ht="12" customHeight="1" x14ac:dyDescent="0.25">
      <c r="B102" s="342"/>
      <c r="C102" s="352"/>
      <c r="D102" s="3"/>
      <c r="E102" s="3"/>
      <c r="F102" s="336"/>
      <c r="G102" s="357"/>
      <c r="H102" s="233"/>
      <c r="J102" s="217"/>
      <c r="K102" s="218"/>
      <c r="L102" s="219"/>
      <c r="M102" s="329"/>
      <c r="Q102" s="358"/>
    </row>
    <row r="103" spans="2:18" x14ac:dyDescent="0.25">
      <c r="B103" s="342" t="s">
        <v>371</v>
      </c>
      <c r="C103" s="352" t="s">
        <v>370</v>
      </c>
      <c r="D103" s="3" t="s">
        <v>197</v>
      </c>
      <c r="E103" s="3"/>
      <c r="F103" s="336">
        <v>12</v>
      </c>
      <c r="G103" s="171">
        <v>0</v>
      </c>
      <c r="H103" s="237">
        <f t="shared" si="0"/>
        <v>0</v>
      </c>
      <c r="J103" s="217"/>
      <c r="K103" s="218"/>
      <c r="L103" s="219"/>
      <c r="M103" s="329"/>
    </row>
    <row r="104" spans="2:18" x14ac:dyDescent="0.25">
      <c r="B104" s="342"/>
      <c r="C104" s="352"/>
      <c r="D104" s="3"/>
      <c r="E104" s="3"/>
      <c r="F104" s="336"/>
      <c r="G104" s="357"/>
      <c r="H104" s="233"/>
      <c r="J104" s="217"/>
      <c r="K104" s="218"/>
      <c r="L104" s="219"/>
      <c r="M104" s="329"/>
    </row>
    <row r="105" spans="2:18" ht="12" customHeight="1" x14ac:dyDescent="0.25">
      <c r="B105" s="7"/>
      <c r="C105" s="352"/>
      <c r="D105" s="3"/>
      <c r="E105" s="3"/>
      <c r="F105" s="336"/>
      <c r="G105" s="357"/>
      <c r="H105" s="233" t="str">
        <f>IF(D105="","",F105*G105)</f>
        <v/>
      </c>
      <c r="J105" s="217"/>
      <c r="K105" s="218"/>
      <c r="L105" s="219"/>
      <c r="M105" s="329"/>
    </row>
    <row r="106" spans="2:18" x14ac:dyDescent="0.25">
      <c r="B106" s="342" t="s">
        <v>372</v>
      </c>
      <c r="C106" s="352" t="s">
        <v>373</v>
      </c>
      <c r="D106" s="3"/>
      <c r="E106" s="3"/>
      <c r="F106" s="336"/>
      <c r="G106" s="357"/>
      <c r="H106" s="233"/>
      <c r="J106" s="360"/>
      <c r="K106" s="218"/>
      <c r="L106" s="219"/>
      <c r="M106" s="329"/>
    </row>
    <row r="107" spans="2:18" ht="12" customHeight="1" x14ac:dyDescent="0.25">
      <c r="B107" s="7"/>
      <c r="C107" s="352"/>
      <c r="D107" s="3"/>
      <c r="E107" s="3"/>
      <c r="F107" s="336"/>
      <c r="G107" s="357"/>
      <c r="H107" s="233" t="str">
        <f t="shared" si="0"/>
        <v/>
      </c>
      <c r="J107" s="360"/>
      <c r="K107" s="218"/>
      <c r="L107" s="219"/>
      <c r="M107" s="329"/>
    </row>
    <row r="108" spans="2:18" x14ac:dyDescent="0.25">
      <c r="B108" s="342" t="s">
        <v>374</v>
      </c>
      <c r="C108" s="2" t="s">
        <v>375</v>
      </c>
      <c r="D108" s="3" t="s">
        <v>10</v>
      </c>
      <c r="E108" s="3"/>
      <c r="F108" s="336">
        <v>20</v>
      </c>
      <c r="G108" s="171">
        <v>0</v>
      </c>
      <c r="H108" s="237">
        <f t="shared" si="0"/>
        <v>0</v>
      </c>
      <c r="J108" s="360"/>
      <c r="K108" s="218"/>
      <c r="L108" s="219"/>
      <c r="M108" s="329"/>
    </row>
    <row r="109" spans="2:18" x14ac:dyDescent="0.25">
      <c r="B109" s="342"/>
      <c r="C109" s="2"/>
      <c r="D109" s="3"/>
      <c r="E109" s="3"/>
      <c r="F109" s="336"/>
      <c r="G109" s="357"/>
      <c r="H109" s="233"/>
      <c r="J109" s="360"/>
      <c r="K109" s="218"/>
      <c r="L109" s="219"/>
      <c r="M109" s="329"/>
    </row>
    <row r="110" spans="2:18" x14ac:dyDescent="0.25">
      <c r="B110" s="342" t="s">
        <v>513</v>
      </c>
      <c r="C110" s="2" t="s">
        <v>391</v>
      </c>
      <c r="D110" s="3" t="s">
        <v>10</v>
      </c>
      <c r="E110" s="3"/>
      <c r="F110" s="336">
        <v>20</v>
      </c>
      <c r="G110" s="171">
        <v>0</v>
      </c>
      <c r="H110" s="237">
        <f>IF(D110="","",F110*G110)</f>
        <v>0</v>
      </c>
      <c r="J110" s="360"/>
      <c r="K110" s="218"/>
      <c r="L110" s="219"/>
      <c r="M110" s="329"/>
    </row>
    <row r="111" spans="2:18" x14ac:dyDescent="0.25">
      <c r="B111" s="342"/>
      <c r="C111" s="2"/>
      <c r="D111" s="3"/>
      <c r="E111" s="3"/>
      <c r="F111" s="336"/>
      <c r="G111" s="357"/>
      <c r="H111" s="233"/>
      <c r="J111" s="360"/>
      <c r="K111" s="218"/>
      <c r="L111" s="219"/>
      <c r="M111" s="329"/>
    </row>
    <row r="112" spans="2:18" ht="12" customHeight="1" x14ac:dyDescent="0.25">
      <c r="B112" s="7"/>
      <c r="C112" s="352"/>
      <c r="D112" s="3"/>
      <c r="E112" s="3"/>
      <c r="F112" s="336"/>
      <c r="G112" s="357"/>
      <c r="H112" s="233" t="str">
        <f t="shared" si="0"/>
        <v/>
      </c>
      <c r="J112" s="360"/>
      <c r="K112" s="218"/>
      <c r="L112" s="219"/>
      <c r="M112" s="329"/>
    </row>
    <row r="113" spans="2:13" ht="23" x14ac:dyDescent="0.25">
      <c r="B113" s="7" t="s">
        <v>376</v>
      </c>
      <c r="C113" s="352" t="s">
        <v>377</v>
      </c>
      <c r="D113" s="3"/>
      <c r="E113" s="3"/>
      <c r="F113" s="336"/>
      <c r="G113" s="357"/>
      <c r="H113" s="233"/>
      <c r="J113" s="360"/>
      <c r="K113" s="218"/>
      <c r="L113" s="219"/>
      <c r="M113" s="329"/>
    </row>
    <row r="114" spans="2:13" ht="12" customHeight="1" x14ac:dyDescent="0.25">
      <c r="B114" s="7"/>
      <c r="C114" s="352"/>
      <c r="D114" s="3"/>
      <c r="E114" s="3"/>
      <c r="F114" s="336"/>
      <c r="G114" s="357"/>
      <c r="H114" s="233" t="str">
        <f t="shared" si="0"/>
        <v/>
      </c>
      <c r="J114" s="360"/>
      <c r="K114" s="218"/>
      <c r="L114" s="219"/>
      <c r="M114" s="329"/>
    </row>
    <row r="115" spans="2:13" ht="23" x14ac:dyDescent="0.25">
      <c r="B115" s="7" t="s">
        <v>378</v>
      </c>
      <c r="C115" s="352" t="s">
        <v>379</v>
      </c>
      <c r="D115" s="3" t="s">
        <v>210</v>
      </c>
      <c r="E115" s="3"/>
      <c r="F115" s="355">
        <v>200000</v>
      </c>
      <c r="G115" s="169">
        <v>1</v>
      </c>
      <c r="H115" s="237">
        <f t="shared" si="0"/>
        <v>200000</v>
      </c>
      <c r="J115" s="217"/>
      <c r="K115" s="218"/>
      <c r="L115" s="219"/>
      <c r="M115" s="329"/>
    </row>
    <row r="116" spans="2:13" ht="12" customHeight="1" x14ac:dyDescent="0.25">
      <c r="B116" s="7"/>
      <c r="C116" s="352"/>
      <c r="D116" s="3"/>
      <c r="E116" s="3"/>
      <c r="F116" s="336"/>
      <c r="G116" s="357"/>
      <c r="H116" s="233" t="str">
        <f t="shared" si="0"/>
        <v/>
      </c>
      <c r="J116" s="217"/>
      <c r="K116" s="218"/>
      <c r="L116" s="219"/>
      <c r="M116" s="329"/>
    </row>
    <row r="117" spans="2:13" ht="12" customHeight="1" x14ac:dyDescent="0.25">
      <c r="B117" s="7" t="s">
        <v>380</v>
      </c>
      <c r="C117" s="766" t="s">
        <v>514</v>
      </c>
      <c r="D117" s="3" t="s">
        <v>6</v>
      </c>
      <c r="E117" s="3"/>
      <c r="F117" s="355">
        <f>H115</f>
        <v>200000</v>
      </c>
      <c r="G117" s="168">
        <v>0</v>
      </c>
      <c r="H117" s="237">
        <f t="shared" si="0"/>
        <v>0</v>
      </c>
      <c r="J117" s="218"/>
      <c r="K117" s="218"/>
      <c r="L117" s="219"/>
      <c r="M117" s="329"/>
    </row>
    <row r="118" spans="2:13" ht="12" customHeight="1" x14ac:dyDescent="0.25">
      <c r="B118" s="7"/>
      <c r="C118" s="766"/>
      <c r="D118" s="3"/>
      <c r="E118" s="3"/>
      <c r="F118" s="336"/>
      <c r="G118" s="357"/>
      <c r="H118" s="233" t="str">
        <f t="shared" si="0"/>
        <v/>
      </c>
      <c r="J118" s="217"/>
      <c r="K118" s="218"/>
      <c r="L118" s="219"/>
      <c r="M118" s="329"/>
    </row>
    <row r="119" spans="2:13" ht="12" customHeight="1" x14ac:dyDescent="0.25">
      <c r="B119" s="7"/>
      <c r="C119" s="2"/>
      <c r="D119" s="3"/>
      <c r="E119" s="3"/>
      <c r="F119" s="336"/>
      <c r="G119" s="357"/>
      <c r="H119" s="233"/>
      <c r="J119" s="217"/>
      <c r="K119" s="218"/>
      <c r="L119" s="219"/>
      <c r="M119" s="329"/>
    </row>
    <row r="120" spans="2:13" ht="12" customHeight="1" x14ac:dyDescent="0.25">
      <c r="B120" s="7"/>
      <c r="C120" s="352"/>
      <c r="D120" s="3"/>
      <c r="E120" s="3"/>
      <c r="F120" s="332"/>
      <c r="G120" s="361"/>
      <c r="H120" s="225"/>
      <c r="J120" s="217"/>
      <c r="K120" s="218"/>
      <c r="L120" s="219"/>
      <c r="M120" s="329"/>
    </row>
    <row r="121" spans="2:13" s="10" customFormat="1" ht="24.75" customHeight="1" x14ac:dyDescent="0.25">
      <c r="B121" s="362" t="str">
        <f>B11</f>
        <v>C1.5</v>
      </c>
      <c r="C121" s="28" t="str">
        <f>"TOTAL CARRIED FORWARD"&amp;IF(H121=H$1," TO SUMMARY","")</f>
        <v>TOTAL CARRIED FORWARD TO SUMMARY</v>
      </c>
      <c r="D121" s="363"/>
      <c r="E121" s="363"/>
      <c r="F121" s="364"/>
      <c r="G121" s="365"/>
      <c r="H121" s="253">
        <f>SUM(H10:H120)</f>
        <v>500000</v>
      </c>
      <c r="J121" s="254"/>
      <c r="K121" s="254"/>
      <c r="L121" s="255"/>
      <c r="M121" s="366"/>
    </row>
    <row r="122" spans="2:13" s="313" customFormat="1" ht="6" customHeight="1" x14ac:dyDescent="0.25">
      <c r="B122" s="367"/>
      <c r="C122" s="368"/>
      <c r="D122" s="369"/>
      <c r="E122" s="369"/>
      <c r="F122" s="370"/>
      <c r="G122" s="371"/>
      <c r="H122" s="262"/>
      <c r="J122" s="57"/>
      <c r="K122" s="57"/>
      <c r="L122" s="71"/>
      <c r="M122" s="23"/>
    </row>
    <row r="123" spans="2:13" ht="7.5" customHeight="1" x14ac:dyDescent="0.25"/>
  </sheetData>
  <sheetProtection algorithmName="SHA-512" hashValue="RqPlEzhxv+kpZzTnKm4+Hwogpr50+nNDtnaP2sYYV44m0bNFP5oN2+uvBqzN3D++atHY/muNYJdbfchdLeWxNg==" saltValue="JCRPEUW1kbUq9sU56JhHbQ==" spinCount="100000" sheet="1" objects="1" scenarios="1"/>
  <mergeCells count="13">
    <mergeCell ref="C117:C118"/>
    <mergeCell ref="C47:C48"/>
    <mergeCell ref="C75:C76"/>
    <mergeCell ref="C58:C59"/>
    <mergeCell ref="C69:C70"/>
    <mergeCell ref="C86:C87"/>
    <mergeCell ref="F3:H3"/>
    <mergeCell ref="F6:H6"/>
    <mergeCell ref="C13:C14"/>
    <mergeCell ref="C37:C38"/>
    <mergeCell ref="C44:C45"/>
    <mergeCell ref="C22:C23"/>
    <mergeCell ref="B7:H7"/>
  </mergeCells>
  <pageMargins left="0.43307086614173229" right="0.31496062992125984" top="0.43307086614173229" bottom="0.62992125984251968" header="0.35433070866141736" footer="0.31496062992125984"/>
  <pageSetup paperSize="9" scale="49" firstPageNumber="196" orientation="portrait" useFirstPageNumber="1"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D315677F-5430-4072-9301-BBE3B7F9E27D}">
            <xm:f>AND(Home!$C$8=FALSE,$D20&lt;&gt;"P C Sum",$D20&lt;&gt;"PC Sum",$D20&lt;&gt;"P Sum",$D20&lt;&gt;"Prov Sum")</xm:f>
            <x14:dxf>
              <font>
                <color theme="0"/>
              </font>
            </x14:dxf>
          </x14:cfRule>
          <xm:sqref>F20:H20</xm:sqref>
        </x14:conditionalFormatting>
        <x14:conditionalFormatting xmlns:xm="http://schemas.microsoft.com/office/excel/2006/main">
          <x14:cfRule type="expression" priority="29" id="{597F9EE0-9C58-4B29-9F35-D62B6CAF186C}">
            <xm:f>AND(Home!$C$8=FALSE,$D22&lt;&gt;"P C Sum",$D22&lt;&gt;"PC Sum",$D22&lt;&gt;"P Sum",$D22&lt;&gt;"Prov Sum")</xm:f>
            <x14:dxf>
              <font>
                <color theme="0"/>
              </font>
            </x14:dxf>
          </x14:cfRule>
          <xm:sqref>F22:H22</xm:sqref>
        </x14:conditionalFormatting>
        <x14:conditionalFormatting xmlns:xm="http://schemas.microsoft.com/office/excel/2006/main">
          <x14:cfRule type="expression" priority="2" id="{CBA88FD5-3700-49C0-84D0-09271357FC7C}">
            <xm:f>AND(Home!$C$8=FALSE,$D35&lt;&gt;"P C Sum",$D35&lt;&gt;"PC Sum",$D35&lt;&gt;"P Sum",$D35&lt;&gt;"Prov Sum")</xm:f>
            <x14:dxf>
              <font>
                <color theme="0"/>
              </font>
            </x14:dxf>
          </x14:cfRule>
          <xm:sqref>F35:H35</xm:sqref>
        </x14:conditionalFormatting>
        <x14:conditionalFormatting xmlns:xm="http://schemas.microsoft.com/office/excel/2006/main">
          <x14:cfRule type="expression" priority="6" id="{8541AC61-1A4C-41E2-B695-AAF29843AB44}">
            <xm:f>AND(Home!$C$8=FALSE,$D37&lt;&gt;"P C Sum",$D37&lt;&gt;"PC Sum",$D37&lt;&gt;"P Sum",$D37&lt;&gt;"Prov Sum")</xm:f>
            <x14:dxf>
              <font>
                <color theme="0"/>
              </font>
            </x14:dxf>
          </x14:cfRule>
          <xm:sqref>F37:H37</xm:sqref>
        </x14:conditionalFormatting>
        <x14:conditionalFormatting xmlns:xm="http://schemas.microsoft.com/office/excel/2006/main">
          <x14:cfRule type="expression" priority="3" id="{84EC08AA-5F36-450B-A75F-0BE0776EA2B7}">
            <xm:f>AND(Home!$C$8=FALSE,$D115&lt;&gt;"P C Sum",$D115&lt;&gt;"PC Sum",$D115&lt;&gt;"P Sum",$D115&lt;&gt;"Prov Sum")</xm:f>
            <x14:dxf>
              <font>
                <color theme="0"/>
              </font>
            </x14:dxf>
          </x14:cfRule>
          <xm:sqref>F115:H115</xm:sqref>
        </x14:conditionalFormatting>
        <x14:conditionalFormatting xmlns:xm="http://schemas.microsoft.com/office/excel/2006/main">
          <x14:cfRule type="expression" priority="4" id="{E230F56F-2E5F-41C4-ABF3-C420A2F7D433}">
            <xm:f>AND(Home!$C$8=FALSE,$D117&lt;&gt;"P C Sum",$D117&lt;&gt;"PC Sum",$D117&lt;&gt;"P Sum",$D117&lt;&gt;"Prov Sum")</xm:f>
            <x14:dxf>
              <font>
                <color theme="0"/>
              </font>
            </x14:dxf>
          </x14:cfRule>
          <xm:sqref>F117:H117</xm:sqref>
        </x14:conditionalFormatting>
        <x14:conditionalFormatting xmlns:xm="http://schemas.microsoft.com/office/excel/2006/main">
          <x14:cfRule type="expression" priority="31" id="{B694DF21-2194-4C94-8F09-7790B102DE2B}">
            <xm:f>AND(Home!$C$8=FALSE,$D10&lt;&gt;"P C Sum",$D10&lt;&gt;"PC Sum",$D10&lt;&gt;"P Sum",$D10&lt;&gt;"Prov Sum")</xm:f>
            <x14:dxf>
              <font>
                <color theme="0"/>
              </font>
            </x14:dxf>
          </x14:cfRule>
          <xm:sqref>G10:H19</xm:sqref>
        </x14:conditionalFormatting>
        <x14:conditionalFormatting xmlns:xm="http://schemas.microsoft.com/office/excel/2006/main">
          <x14:cfRule type="expression" priority="40" id="{C6239086-3513-43BA-9F08-684EB4B4B4F4}">
            <xm:f>AND(Home!$C$8=FALSE,$D21&lt;&gt;"P C Sum",$D21&lt;&gt;"PC Sum",$D21&lt;&gt;"P Sum",$D21&lt;&gt;"Prov Sum")</xm:f>
            <x14:dxf>
              <font>
                <color theme="0"/>
              </font>
            </x14:dxf>
          </x14:cfRule>
          <xm:sqref>G21:H21 G36:H36</xm:sqref>
        </x14:conditionalFormatting>
        <x14:conditionalFormatting xmlns:xm="http://schemas.microsoft.com/office/excel/2006/main">
          <x14:cfRule type="expression" priority="25" id="{C618E92E-F3DF-4F35-B791-50AAD893D084}">
            <xm:f>AND(Home!$C$8=FALSE,$D23&lt;&gt;"P C Sum",$D23&lt;&gt;"PC Sum",$D23&lt;&gt;"P Sum",$D23&lt;&gt;"Prov Sum")</xm:f>
            <x14:dxf>
              <font>
                <color theme="0"/>
              </font>
            </x14:dxf>
          </x14:cfRule>
          <xm:sqref>G23:H34</xm:sqref>
        </x14:conditionalFormatting>
        <x14:conditionalFormatting xmlns:xm="http://schemas.microsoft.com/office/excel/2006/main">
          <x14:cfRule type="expression" priority="17" id="{40092FF9-9FF9-4776-98DB-A6E9882456B2}">
            <xm:f>AND(Home!$C$8=FALSE,$D38&lt;&gt;"P C Sum",$D38&lt;&gt;"PC Sum",$D38&lt;&gt;"P Sum",$D38&lt;&gt;"Prov Sum")</xm:f>
            <x14:dxf>
              <font>
                <color theme="0"/>
              </font>
            </x14:dxf>
          </x14:cfRule>
          <xm:sqref>G38:H59</xm:sqref>
        </x14:conditionalFormatting>
        <x14:conditionalFormatting xmlns:xm="http://schemas.microsoft.com/office/excel/2006/main">
          <x14:cfRule type="expression" priority="57" id="{F7E3F05A-831D-42F8-9FA7-014F2ADAC1ED}">
            <xm:f>AND(Home!$C$8=FALSE,$D61&lt;&gt;"P C Sum",$D61&lt;&gt;"PC Sum",$D61&lt;&gt;"P Sum",$D61&lt;&gt;"Prov Sum")</xm:f>
            <x14:dxf>
              <font>
                <color theme="0"/>
              </font>
            </x14:dxf>
          </x14:cfRule>
          <xm:sqref>G60:H60 K121:M121</xm:sqref>
        </x14:conditionalFormatting>
        <x14:conditionalFormatting xmlns:xm="http://schemas.microsoft.com/office/excel/2006/main">
          <x14:cfRule type="expression" priority="9" id="{1C27D502-8828-4F6E-85C5-4D131F60EC37}">
            <xm:f>AND(Home!$C$8=FALSE,$D61&lt;&gt;"P C Sum",$D61&lt;&gt;"PC Sum",$D61&lt;&gt;"P Sum",$D61&lt;&gt;"Prov Sum")</xm:f>
            <x14:dxf>
              <font>
                <color theme="0"/>
              </font>
            </x14:dxf>
          </x14:cfRule>
          <xm:sqref>G61:H114</xm:sqref>
        </x14:conditionalFormatting>
        <x14:conditionalFormatting xmlns:xm="http://schemas.microsoft.com/office/excel/2006/main">
          <x14:cfRule type="expression" priority="43" id="{F99FCA80-F962-4DAD-A262-D9AED7D6D861}">
            <xm:f>AND(Home!$C$8=FALSE,$D116&lt;&gt;"P C Sum",$D116&lt;&gt;"PC Sum",$D116&lt;&gt;"P Sum",$D116&lt;&gt;"Prov Sum")</xm:f>
            <x14:dxf>
              <font>
                <color theme="0"/>
              </font>
            </x14:dxf>
          </x14:cfRule>
          <xm:sqref>G116:H116 G118:H121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68B7E-E2BD-43D2-B1EE-F94B81070D30}">
  <sheetPr codeName="Sheet4">
    <tabColor theme="9" tint="0.59999389629810485"/>
  </sheetPr>
  <dimension ref="A1:R40"/>
  <sheetViews>
    <sheetView showGridLines="0" view="pageBreakPreview" zoomScale="115" zoomScaleNormal="130" zoomScaleSheetLayoutView="115" workbookViewId="0">
      <selection activeCell="K5" sqref="K5"/>
    </sheetView>
  </sheetViews>
  <sheetFormatPr defaultColWidth="11.08984375" defaultRowHeight="11.5" x14ac:dyDescent="0.25"/>
  <cols>
    <col min="1" max="1" width="1.1796875" style="306" customWidth="1"/>
    <col min="2" max="2" width="10.1796875" style="311" customWidth="1"/>
    <col min="3" max="3" width="41.1796875" style="306" customWidth="1"/>
    <col min="4" max="4" width="9" style="312" customWidth="1"/>
    <col min="5" max="5" width="4.453125" style="312" customWidth="1"/>
    <col min="6" max="6" width="14" style="372" customWidth="1"/>
    <col min="7" max="7" width="12.1796875" style="373" customWidth="1"/>
    <col min="8" max="8" width="15.1796875" style="373" customWidth="1"/>
    <col min="9" max="9" width="1.1796875" style="306" customWidth="1"/>
    <col min="10" max="10" width="13.54296875" style="57" customWidth="1"/>
    <col min="11" max="11" width="14.1796875" style="57" customWidth="1"/>
    <col min="12" max="12" width="14.1796875" style="71" customWidth="1"/>
    <col min="13" max="13" width="14.1796875" style="23" customWidth="1"/>
    <col min="14" max="16384" width="11.08984375" style="306"/>
  </cols>
  <sheetData>
    <row r="1" spans="1:18" x14ac:dyDescent="0.25">
      <c r="A1" s="53"/>
      <c r="B1" s="54"/>
      <c r="C1" s="24" t="s">
        <v>61</v>
      </c>
      <c r="D1" s="25"/>
      <c r="E1" s="25"/>
      <c r="F1" s="25"/>
      <c r="G1" s="23"/>
      <c r="H1" s="55">
        <f>MAX(H2:H74)</f>
        <v>7687500</v>
      </c>
      <c r="I1" s="56"/>
    </row>
    <row r="2" spans="1:18" x14ac:dyDescent="0.25">
      <c r="B2" s="145"/>
      <c r="C2" s="61"/>
      <c r="D2" s="61"/>
      <c r="E2" s="61"/>
      <c r="F2" s="61"/>
      <c r="G2" s="61"/>
      <c r="H2" s="61"/>
      <c r="J2" s="159"/>
      <c r="K2" s="159"/>
      <c r="L2" s="307"/>
      <c r="M2" s="308"/>
    </row>
    <row r="3" spans="1:18" s="23" customFormat="1" x14ac:dyDescent="0.25">
      <c r="B3" s="309" t="str">
        <f>_Client1</f>
        <v>Province of KwaZulu-Natal</v>
      </c>
      <c r="C3" s="24"/>
      <c r="D3" s="25"/>
      <c r="F3" s="753" t="str">
        <f>"Contract No. "&amp;_ContractNo</f>
        <v>Contract No. ZNB02642/00000/00/HOD/INF/25/T</v>
      </c>
      <c r="G3" s="753"/>
      <c r="H3" s="753"/>
      <c r="I3" s="26"/>
      <c r="J3" s="57"/>
      <c r="K3" s="57"/>
      <c r="L3" s="71"/>
    </row>
    <row r="4" spans="1:18" s="23" customFormat="1" x14ac:dyDescent="0.25">
      <c r="B4" s="310" t="str">
        <f>_Client2</f>
        <v>Department of Transport</v>
      </c>
      <c r="C4" s="24"/>
      <c r="D4" s="25"/>
      <c r="E4" s="25"/>
      <c r="F4" s="25"/>
      <c r="G4" s="25"/>
      <c r="H4" s="25"/>
      <c r="I4" s="26"/>
      <c r="J4" s="57"/>
      <c r="K4" s="57"/>
      <c r="L4" s="71"/>
    </row>
    <row r="5" spans="1:18" x14ac:dyDescent="0.25">
      <c r="F5" s="312"/>
      <c r="G5" s="312"/>
      <c r="H5" s="312"/>
    </row>
    <row r="6" spans="1:18" s="314" customFormat="1" x14ac:dyDescent="0.25">
      <c r="B6" s="65" t="str">
        <f>'1.2'!B6</f>
        <v>SCHEDULE A: ROADWORKS</v>
      </c>
      <c r="C6" s="315"/>
      <c r="D6" s="316"/>
      <c r="E6" s="316"/>
      <c r="F6" s="751" t="str">
        <f>"SECTION "&amp;B11</f>
        <v>SECTION 2.1</v>
      </c>
      <c r="G6" s="751"/>
      <c r="H6" s="752"/>
      <c r="I6" s="317"/>
      <c r="J6" s="160"/>
      <c r="K6" s="160"/>
      <c r="L6" s="318"/>
      <c r="M6" s="35"/>
    </row>
    <row r="7" spans="1:18" s="314" customFormat="1" ht="25.2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317"/>
      <c r="J7" s="161"/>
      <c r="K7" s="161"/>
      <c r="L7" s="319"/>
      <c r="M7" s="35"/>
    </row>
    <row r="8" spans="1:18" ht="8.15" customHeight="1" x14ac:dyDescent="0.25">
      <c r="B8" s="27"/>
      <c r="C8" s="320"/>
      <c r="D8" s="320"/>
      <c r="E8" s="320"/>
      <c r="F8" s="320"/>
      <c r="G8" s="320"/>
      <c r="H8" s="322"/>
      <c r="I8" s="323"/>
      <c r="J8" s="161"/>
      <c r="K8" s="161"/>
      <c r="L8" s="319"/>
      <c r="M8" s="35"/>
    </row>
    <row r="9" spans="1:18" s="312" customFormat="1" ht="20.149999999999999" customHeight="1" x14ac:dyDescent="0.25">
      <c r="B9" s="5" t="s">
        <v>27</v>
      </c>
      <c r="C9" s="5" t="s">
        <v>1</v>
      </c>
      <c r="D9" s="5" t="s">
        <v>2</v>
      </c>
      <c r="E9" s="5" t="s">
        <v>30</v>
      </c>
      <c r="F9" s="324" t="s">
        <v>3</v>
      </c>
      <c r="G9" s="325" t="s">
        <v>4</v>
      </c>
      <c r="H9" s="325" t="s">
        <v>5</v>
      </c>
      <c r="J9" s="159"/>
      <c r="K9" s="159"/>
      <c r="L9" s="307"/>
      <c r="M9" s="61"/>
    </row>
    <row r="10" spans="1:18" ht="12" customHeight="1" x14ac:dyDescent="0.25">
      <c r="B10" s="326"/>
      <c r="C10" s="1"/>
      <c r="D10" s="1"/>
      <c r="E10" s="1"/>
      <c r="F10" s="327"/>
      <c r="G10" s="12"/>
      <c r="H10" s="328" t="str">
        <f>IF(D10="","",F10*G10)</f>
        <v/>
      </c>
      <c r="J10" s="217"/>
      <c r="K10" s="218"/>
      <c r="L10" s="219"/>
      <c r="M10" s="329"/>
    </row>
    <row r="11" spans="1:18" ht="25.5" customHeight="1" x14ac:dyDescent="0.25">
      <c r="B11" s="489">
        <v>2.1</v>
      </c>
      <c r="C11" s="331" t="s">
        <v>392</v>
      </c>
      <c r="D11" s="1"/>
      <c r="E11" s="1"/>
      <c r="F11" s="332"/>
      <c r="G11" s="333"/>
      <c r="H11" s="225" t="str">
        <f>IF(D11="","",F11*G11)</f>
        <v/>
      </c>
      <c r="I11" s="311"/>
      <c r="J11" s="217"/>
      <c r="K11" s="218"/>
      <c r="L11" s="219"/>
      <c r="M11" s="329"/>
    </row>
    <row r="12" spans="1:18" ht="12" customHeight="1" x14ac:dyDescent="0.25">
      <c r="B12" s="330"/>
      <c r="C12" s="331"/>
      <c r="D12" s="1"/>
      <c r="E12" s="1"/>
      <c r="F12" s="332"/>
      <c r="G12" s="333"/>
      <c r="H12" s="225" t="str">
        <f>IF(D12="","",F12*G12)</f>
        <v/>
      </c>
      <c r="I12" s="311"/>
      <c r="J12" s="217"/>
      <c r="K12" s="218"/>
      <c r="L12" s="219"/>
      <c r="M12" s="329"/>
    </row>
    <row r="13" spans="1:18" ht="36" customHeight="1" x14ac:dyDescent="0.25">
      <c r="B13" s="342" t="s">
        <v>393</v>
      </c>
      <c r="C13" s="340" t="s">
        <v>463</v>
      </c>
      <c r="D13" s="1"/>
      <c r="E13" s="1"/>
      <c r="F13" s="332"/>
      <c r="G13" s="333"/>
      <c r="H13" s="225"/>
      <c r="I13" s="311"/>
      <c r="J13" s="217"/>
      <c r="K13" s="218"/>
      <c r="L13" s="219"/>
      <c r="M13" s="329"/>
      <c r="O13" s="343"/>
      <c r="P13" s="343"/>
      <c r="Q13" s="343"/>
      <c r="R13" s="343"/>
    </row>
    <row r="14" spans="1:18" ht="12" customHeight="1" x14ac:dyDescent="0.25">
      <c r="B14" s="342"/>
      <c r="C14" s="340"/>
      <c r="D14" s="1"/>
      <c r="E14" s="1"/>
      <c r="F14" s="332"/>
      <c r="G14" s="333"/>
      <c r="H14" s="225" t="str">
        <f>IF(D14="","",F14*G14)</f>
        <v/>
      </c>
      <c r="I14" s="311"/>
      <c r="J14" s="217"/>
      <c r="K14" s="218"/>
      <c r="L14" s="219"/>
      <c r="M14" s="329"/>
      <c r="O14" s="343"/>
      <c r="P14" s="343"/>
      <c r="Q14" s="343"/>
      <c r="R14" s="343"/>
    </row>
    <row r="15" spans="1:18" ht="29.25" customHeight="1" x14ac:dyDescent="0.25">
      <c r="B15" s="9" t="s">
        <v>395</v>
      </c>
      <c r="C15" s="352" t="s">
        <v>396</v>
      </c>
      <c r="D15" s="3" t="s">
        <v>394</v>
      </c>
      <c r="E15" s="1"/>
      <c r="F15" s="355">
        <v>7500000</v>
      </c>
      <c r="G15" s="169">
        <v>1</v>
      </c>
      <c r="H15" s="237">
        <f>IF(D15="","",F15*G15)</f>
        <v>7500000</v>
      </c>
      <c r="I15" s="311"/>
      <c r="J15" s="360"/>
      <c r="K15" s="218"/>
      <c r="L15" s="219"/>
      <c r="M15" s="329"/>
      <c r="O15" s="343"/>
      <c r="P15" s="343"/>
      <c r="Q15" s="343"/>
      <c r="R15" s="343"/>
    </row>
    <row r="16" spans="1:18" ht="12" customHeight="1" x14ac:dyDescent="0.25">
      <c r="B16" s="7"/>
      <c r="C16" s="352"/>
      <c r="D16" s="3"/>
      <c r="E16" s="1"/>
      <c r="F16" s="336"/>
      <c r="G16" s="338"/>
      <c r="H16" s="233" t="str">
        <f>IF(D16="","",F16*G16)</f>
        <v/>
      </c>
      <c r="J16" s="217"/>
      <c r="K16" s="218"/>
      <c r="L16" s="219"/>
      <c r="M16" s="329"/>
      <c r="O16" s="48"/>
      <c r="P16" s="48"/>
      <c r="Q16" s="48"/>
      <c r="R16" s="48"/>
    </row>
    <row r="17" spans="2:18" ht="12" customHeight="1" x14ac:dyDescent="0.25">
      <c r="B17" s="9" t="s">
        <v>398</v>
      </c>
      <c r="C17" s="352" t="s">
        <v>397</v>
      </c>
      <c r="D17" s="3" t="s">
        <v>6</v>
      </c>
      <c r="E17" s="1"/>
      <c r="F17" s="355">
        <f>H15</f>
        <v>7500000</v>
      </c>
      <c r="G17" s="168">
        <v>0</v>
      </c>
      <c r="H17" s="237">
        <f>IF(D17="","",F17*G17)</f>
        <v>0</v>
      </c>
      <c r="J17" s="360"/>
      <c r="K17" s="218"/>
      <c r="L17" s="219"/>
      <c r="M17" s="329"/>
      <c r="O17" s="48"/>
      <c r="P17" s="48"/>
      <c r="Q17" s="48"/>
      <c r="R17" s="48"/>
    </row>
    <row r="18" spans="2:18" ht="12" customHeight="1" x14ac:dyDescent="0.25">
      <c r="B18" s="9"/>
      <c r="C18" s="352"/>
      <c r="D18" s="3"/>
      <c r="E18" s="1"/>
      <c r="F18" s="336"/>
      <c r="G18" s="490"/>
      <c r="H18" s="233"/>
      <c r="J18" s="360"/>
      <c r="K18" s="218"/>
      <c r="L18" s="219"/>
      <c r="M18" s="329"/>
      <c r="O18" s="48"/>
      <c r="P18" s="48"/>
      <c r="Q18" s="48"/>
      <c r="R18" s="48"/>
    </row>
    <row r="19" spans="2:18" ht="12" customHeight="1" x14ac:dyDescent="0.25">
      <c r="B19" s="7"/>
      <c r="C19" s="352"/>
      <c r="D19" s="3"/>
      <c r="E19" s="1"/>
      <c r="F19" s="336"/>
      <c r="G19" s="357"/>
      <c r="H19" s="233" t="str">
        <f>IF(D19="","",F19*G19)</f>
        <v/>
      </c>
      <c r="J19" s="360"/>
      <c r="K19" s="218"/>
      <c r="L19" s="219"/>
      <c r="M19" s="329"/>
      <c r="Q19" s="358"/>
    </row>
    <row r="20" spans="2:18" ht="12" customHeight="1" x14ac:dyDescent="0.25">
      <c r="B20" s="7" t="s">
        <v>399</v>
      </c>
      <c r="C20" s="352" t="s">
        <v>400</v>
      </c>
      <c r="D20" s="3"/>
      <c r="E20" s="1"/>
      <c r="F20" s="336"/>
      <c r="G20" s="357"/>
      <c r="H20" s="233"/>
      <c r="J20" s="360"/>
      <c r="K20" s="218"/>
      <c r="L20" s="219"/>
      <c r="M20" s="329"/>
    </row>
    <row r="21" spans="2:18" x14ac:dyDescent="0.25">
      <c r="B21" s="7"/>
      <c r="C21" s="352"/>
      <c r="D21" s="3"/>
      <c r="E21" s="1"/>
      <c r="F21" s="336"/>
      <c r="G21" s="357"/>
      <c r="H21" s="233"/>
      <c r="J21" s="360"/>
      <c r="K21" s="218"/>
      <c r="L21" s="219"/>
      <c r="M21" s="329"/>
    </row>
    <row r="22" spans="2:18" ht="12" customHeight="1" x14ac:dyDescent="0.25">
      <c r="B22" s="7" t="s">
        <v>401</v>
      </c>
      <c r="C22" s="352" t="s">
        <v>402</v>
      </c>
      <c r="D22" s="3" t="s">
        <v>394</v>
      </c>
      <c r="E22" s="1"/>
      <c r="F22" s="355">
        <v>187500</v>
      </c>
      <c r="G22" s="169">
        <v>1</v>
      </c>
      <c r="H22" s="237">
        <f>IF(D22="","",F22*G22)</f>
        <v>187500</v>
      </c>
      <c r="J22" s="360"/>
      <c r="K22" s="218"/>
      <c r="L22" s="219"/>
      <c r="M22" s="329"/>
    </row>
    <row r="23" spans="2:18" x14ac:dyDescent="0.25">
      <c r="B23" s="7"/>
      <c r="C23" s="352"/>
      <c r="D23" s="3"/>
      <c r="E23" s="1"/>
      <c r="F23" s="336"/>
      <c r="G23" s="357"/>
      <c r="H23" s="233"/>
      <c r="J23" s="360"/>
      <c r="K23" s="218"/>
      <c r="L23" s="219"/>
      <c r="M23" s="329"/>
    </row>
    <row r="24" spans="2:18" ht="12" customHeight="1" x14ac:dyDescent="0.25">
      <c r="B24" s="9" t="s">
        <v>404</v>
      </c>
      <c r="C24" s="352" t="s">
        <v>403</v>
      </c>
      <c r="D24" s="3" t="s">
        <v>6</v>
      </c>
      <c r="E24" s="1"/>
      <c r="F24" s="355">
        <f>H22</f>
        <v>187500</v>
      </c>
      <c r="G24" s="168">
        <v>0</v>
      </c>
      <c r="H24" s="237">
        <f>IF(D24="","",F24*G24)</f>
        <v>0</v>
      </c>
      <c r="J24" s="360"/>
      <c r="K24" s="218"/>
      <c r="L24" s="219"/>
      <c r="M24" s="329"/>
    </row>
    <row r="25" spans="2:18" x14ac:dyDescent="0.25">
      <c r="B25" s="7"/>
      <c r="C25" s="352"/>
      <c r="D25" s="3"/>
      <c r="E25" s="1"/>
      <c r="F25" s="336"/>
      <c r="G25" s="357"/>
      <c r="H25" s="233"/>
      <c r="J25" s="360"/>
      <c r="K25" s="218"/>
      <c r="L25" s="219"/>
      <c r="M25" s="329"/>
    </row>
    <row r="26" spans="2:18" ht="12" customHeight="1" x14ac:dyDescent="0.25">
      <c r="B26" s="9" t="s">
        <v>405</v>
      </c>
      <c r="C26" s="352" t="s">
        <v>406</v>
      </c>
      <c r="D26" s="3" t="s">
        <v>72</v>
      </c>
      <c r="E26" s="1"/>
      <c r="F26" s="336">
        <v>500</v>
      </c>
      <c r="G26" s="171">
        <v>0</v>
      </c>
      <c r="H26" s="237">
        <f>IF(D26="","",F26*G26)</f>
        <v>0</v>
      </c>
      <c r="J26" s="360"/>
      <c r="K26" s="218"/>
      <c r="L26" s="219"/>
      <c r="M26" s="329"/>
    </row>
    <row r="27" spans="2:18" x14ac:dyDescent="0.25">
      <c r="B27" s="7"/>
      <c r="C27" s="352"/>
      <c r="D27" s="3"/>
      <c r="E27" s="1"/>
      <c r="F27" s="336"/>
      <c r="G27" s="357"/>
      <c r="H27" s="233"/>
      <c r="J27" s="217"/>
      <c r="K27" s="218"/>
      <c r="L27" s="219"/>
      <c r="M27" s="329"/>
    </row>
    <row r="28" spans="2:18" x14ac:dyDescent="0.25">
      <c r="B28" s="7"/>
      <c r="C28" s="352"/>
      <c r="D28" s="3"/>
      <c r="E28" s="1"/>
      <c r="F28" s="336"/>
      <c r="G28" s="357"/>
      <c r="H28" s="233"/>
      <c r="J28" s="217"/>
      <c r="K28" s="218"/>
      <c r="L28" s="219"/>
      <c r="M28" s="329"/>
    </row>
    <row r="29" spans="2:18" ht="12" customHeight="1" x14ac:dyDescent="0.25">
      <c r="B29" s="7" t="s">
        <v>407</v>
      </c>
      <c r="C29" s="352" t="s">
        <v>408</v>
      </c>
      <c r="D29" s="3" t="s">
        <v>244</v>
      </c>
      <c r="E29" s="1"/>
      <c r="F29" s="336">
        <v>1</v>
      </c>
      <c r="G29" s="171">
        <v>0</v>
      </c>
      <c r="H29" s="237">
        <f>IF(D29="","",F29*G29)</f>
        <v>0</v>
      </c>
      <c r="J29" s="360"/>
      <c r="K29" s="218"/>
      <c r="L29" s="219"/>
      <c r="M29" s="329"/>
    </row>
    <row r="30" spans="2:18" ht="12" customHeight="1" x14ac:dyDescent="0.25">
      <c r="B30" s="7"/>
      <c r="C30" s="352"/>
      <c r="D30" s="3"/>
      <c r="E30" s="1"/>
      <c r="F30" s="336"/>
      <c r="G30" s="357"/>
      <c r="H30" s="233"/>
      <c r="J30" s="360"/>
      <c r="K30" s="218"/>
      <c r="L30" s="219"/>
      <c r="M30" s="329"/>
    </row>
    <row r="31" spans="2:18" ht="38.25" customHeight="1" x14ac:dyDescent="0.25">
      <c r="B31" s="7" t="s">
        <v>409</v>
      </c>
      <c r="C31" s="356" t="s">
        <v>410</v>
      </c>
      <c r="D31" s="3"/>
      <c r="E31" s="1"/>
      <c r="F31" s="336"/>
      <c r="G31" s="357"/>
      <c r="H31" s="233"/>
      <c r="J31" s="491"/>
      <c r="K31" s="218"/>
      <c r="L31" s="219"/>
      <c r="M31" s="329"/>
    </row>
    <row r="32" spans="2:18" ht="12" customHeight="1" x14ac:dyDescent="0.25">
      <c r="B32" s="7"/>
      <c r="C32" s="430"/>
      <c r="D32" s="3"/>
      <c r="E32" s="1"/>
      <c r="F32" s="336"/>
      <c r="G32" s="357"/>
      <c r="H32" s="233"/>
      <c r="J32" s="217"/>
      <c r="K32" s="218"/>
      <c r="L32" s="219"/>
      <c r="M32" s="329"/>
    </row>
    <row r="33" spans="2:13" ht="12" customHeight="1" x14ac:dyDescent="0.25">
      <c r="B33" s="7" t="s">
        <v>411</v>
      </c>
      <c r="C33" s="352" t="s">
        <v>412</v>
      </c>
      <c r="D33" s="3" t="s">
        <v>72</v>
      </c>
      <c r="E33" s="1" t="s">
        <v>30</v>
      </c>
      <c r="F33" s="336">
        <v>50</v>
      </c>
      <c r="G33" s="171">
        <v>0</v>
      </c>
      <c r="H33" s="237">
        <f>IF(D33="","",F33*G33)</f>
        <v>0</v>
      </c>
      <c r="J33" s="360"/>
      <c r="K33" s="218"/>
      <c r="L33" s="219"/>
      <c r="M33" s="329"/>
    </row>
    <row r="34" spans="2:13" x14ac:dyDescent="0.25">
      <c r="B34" s="7"/>
      <c r="C34" s="430"/>
      <c r="D34" s="3"/>
      <c r="E34" s="1"/>
      <c r="F34" s="336"/>
      <c r="G34" s="357"/>
      <c r="H34" s="233"/>
      <c r="J34" s="217"/>
      <c r="K34" s="218"/>
      <c r="L34" s="219"/>
      <c r="M34" s="329"/>
    </row>
    <row r="35" spans="2:13" ht="12" customHeight="1" x14ac:dyDescent="0.25">
      <c r="B35" s="7" t="s">
        <v>517</v>
      </c>
      <c r="C35" s="356" t="s">
        <v>413</v>
      </c>
      <c r="D35" s="3" t="s">
        <v>72</v>
      </c>
      <c r="E35" s="1" t="s">
        <v>30</v>
      </c>
      <c r="F35" s="336">
        <v>50</v>
      </c>
      <c r="G35" s="171">
        <v>0</v>
      </c>
      <c r="H35" s="237">
        <f>IF(D35="","",F35*G35)</f>
        <v>0</v>
      </c>
      <c r="J35" s="360"/>
      <c r="K35" s="218"/>
      <c r="L35" s="219"/>
      <c r="M35" s="329"/>
    </row>
    <row r="36" spans="2:13" ht="12" customHeight="1" x14ac:dyDescent="0.25">
      <c r="B36" s="7"/>
      <c r="C36" s="352"/>
      <c r="D36" s="3"/>
      <c r="E36" s="1"/>
      <c r="F36" s="336"/>
      <c r="G36" s="357"/>
      <c r="H36" s="233"/>
      <c r="J36" s="218"/>
      <c r="K36" s="218"/>
      <c r="L36" s="219"/>
      <c r="M36" s="329"/>
    </row>
    <row r="37" spans="2:13" ht="12" customHeight="1" x14ac:dyDescent="0.25">
      <c r="B37" s="7" t="s">
        <v>516</v>
      </c>
      <c r="C37" s="352" t="s">
        <v>518</v>
      </c>
      <c r="D37" s="3" t="s">
        <v>72</v>
      </c>
      <c r="E37" s="1" t="s">
        <v>30</v>
      </c>
      <c r="F37" s="336">
        <v>50</v>
      </c>
      <c r="G37" s="171">
        <v>0</v>
      </c>
      <c r="H37" s="237">
        <f>IF(D37="","",F37*G37)</f>
        <v>0</v>
      </c>
      <c r="J37" s="360"/>
      <c r="K37" s="218"/>
      <c r="L37" s="219"/>
      <c r="M37" s="329"/>
    </row>
    <row r="38" spans="2:13" s="313" customFormat="1" x14ac:dyDescent="0.25">
      <c r="B38" s="492"/>
      <c r="C38" s="352"/>
      <c r="D38" s="408"/>
      <c r="E38" s="408"/>
      <c r="F38" s="493"/>
      <c r="G38" s="420"/>
      <c r="H38" s="225" t="str">
        <f>IF(D38="","",F38*G38)</f>
        <v/>
      </c>
      <c r="J38" s="217"/>
      <c r="K38" s="218"/>
      <c r="L38" s="219"/>
      <c r="M38" s="329"/>
    </row>
    <row r="39" spans="2:13" s="10" customFormat="1" ht="24.75" customHeight="1" x14ac:dyDescent="0.25">
      <c r="B39" s="362" t="s">
        <v>633</v>
      </c>
      <c r="C39" s="28" t="str">
        <f>"TOTAL CARRIED FORWARD"&amp;IF(H39=H$1," TO SUMMARY","")</f>
        <v>TOTAL CARRIED FORWARD TO SUMMARY</v>
      </c>
      <c r="D39" s="363"/>
      <c r="E39" s="363"/>
      <c r="F39" s="364"/>
      <c r="G39" s="365"/>
      <c r="H39" s="253">
        <f>SUM(H10:H38)</f>
        <v>7687500</v>
      </c>
      <c r="J39" s="254"/>
      <c r="K39" s="254"/>
      <c r="L39" s="255"/>
      <c r="M39" s="366"/>
    </row>
    <row r="40" spans="2:13" s="313" customFormat="1" ht="6" customHeight="1" x14ac:dyDescent="0.25">
      <c r="B40" s="367"/>
      <c r="C40" s="368"/>
      <c r="D40" s="369"/>
      <c r="E40" s="369"/>
      <c r="F40" s="370"/>
      <c r="G40" s="371"/>
      <c r="H40" s="262"/>
      <c r="J40" s="57"/>
      <c r="K40" s="57"/>
      <c r="L40" s="71"/>
      <c r="M40" s="23"/>
    </row>
  </sheetData>
  <sheetProtection algorithmName="SHA-512" hashValue="vw4/Z2iaXmdG8V6lYXYymVm0uKQSIeKcbDod+a1UtgjWJGLji6PbuQUu7j5en9o5r4N5nSSMLjowhDZ9VzkiHg==" saltValue="FHBJSjMVilW82HvDwH1rVA==" spinCount="100000" sheet="1" objects="1" scenarios="1"/>
  <mergeCells count="3">
    <mergeCell ref="F3:H3"/>
    <mergeCell ref="F6:H6"/>
    <mergeCell ref="B7:H7"/>
  </mergeCells>
  <pageMargins left="0.7" right="0.7" top="0.75" bottom="0.75" header="0.3" footer="0.3"/>
  <pageSetup paperSize="9" scale="81" orientation="portrait" r:id="rId1"/>
  <rowBreaks count="1" manualBreakCount="1">
    <brk id="40" max="8" man="1"/>
  </rowBreaks>
  <extLst>
    <ext xmlns:x14="http://schemas.microsoft.com/office/spreadsheetml/2009/9/main" uri="{78C0D931-6437-407d-A8EE-F0AAD7539E65}">
      <x14:conditionalFormattings>
        <x14:conditionalFormatting xmlns:xm="http://schemas.microsoft.com/office/excel/2006/main">
          <x14:cfRule type="expression" priority="1" id="{75208B31-E7B1-4A36-8A72-BF45AB306706}">
            <xm:f>AND(Home!$C$8=FALSE,$D15&lt;&gt;"P C Sum",$D15&lt;&gt;"PC Sum",$D15&lt;&gt;"P Sum",$D15&lt;&gt;"Prov Sum")</xm:f>
            <x14:dxf>
              <font>
                <color theme="0"/>
              </font>
            </x14:dxf>
          </x14:cfRule>
          <xm:sqref>F15:H15</xm:sqref>
        </x14:conditionalFormatting>
        <x14:conditionalFormatting xmlns:xm="http://schemas.microsoft.com/office/excel/2006/main">
          <x14:cfRule type="expression" priority="3" id="{949B4E57-F79D-4F07-A0DB-C0363CBD4640}">
            <xm:f>AND(Home!$C$8=FALSE,$D17&lt;&gt;"P C Sum",$D17&lt;&gt;"PC Sum",$D17&lt;&gt;"P Sum",$D17&lt;&gt;"Prov Sum")</xm:f>
            <x14:dxf>
              <font>
                <color theme="0"/>
              </font>
            </x14:dxf>
          </x14:cfRule>
          <xm:sqref>F17:H17</xm:sqref>
        </x14:conditionalFormatting>
        <x14:conditionalFormatting xmlns:xm="http://schemas.microsoft.com/office/excel/2006/main">
          <x14:cfRule type="expression" priority="4" id="{AB003066-1E69-4E81-BD6E-DBD99F4082F0}">
            <xm:f>AND(Home!$C$8=FALSE,$D22&lt;&gt;"P C Sum",$D22&lt;&gt;"PC Sum",$D22&lt;&gt;"P Sum",$D22&lt;&gt;"Prov Sum")</xm:f>
            <x14:dxf>
              <font>
                <color theme="0"/>
              </font>
            </x14:dxf>
          </x14:cfRule>
          <xm:sqref>F22:H22</xm:sqref>
        </x14:conditionalFormatting>
        <x14:conditionalFormatting xmlns:xm="http://schemas.microsoft.com/office/excel/2006/main">
          <x14:cfRule type="expression" priority="2" id="{D512196C-32D0-4756-84AA-7E2FF7D1B7BC}">
            <xm:f>AND(Home!$C$8=FALSE,$D24&lt;&gt;"P C Sum",$D24&lt;&gt;"PC Sum",$D24&lt;&gt;"P Sum",$D24&lt;&gt;"Prov Sum")</xm:f>
            <x14:dxf>
              <font>
                <color theme="0"/>
              </font>
            </x14:dxf>
          </x14:cfRule>
          <xm:sqref>F24:H24</xm:sqref>
        </x14:conditionalFormatting>
        <x14:conditionalFormatting xmlns:xm="http://schemas.microsoft.com/office/excel/2006/main">
          <x14:cfRule type="expression" priority="15" id="{2B45D9C5-F7D2-424E-A167-B978134F550C}">
            <xm:f>AND(Home!$C$8=FALSE,$D10&lt;&gt;"P C Sum",$D10&lt;&gt;"PC Sum",$D10&lt;&gt;"P Sum",$D10&lt;&gt;"Prov Sum")</xm:f>
            <x14:dxf>
              <font>
                <color theme="0"/>
              </font>
            </x14:dxf>
          </x14:cfRule>
          <xm:sqref>G10:H14 G16:H16 G18:H21 G23:H23</xm:sqref>
        </x14:conditionalFormatting>
        <x14:conditionalFormatting xmlns:xm="http://schemas.microsoft.com/office/excel/2006/main">
          <x14:cfRule type="expression" priority="6" id="{F3ED3BE1-DFF6-498A-BCFF-C62535DCD026}">
            <xm:f>AND(Home!$C$8=FALSE,$D25&lt;&gt;"P C Sum",$D25&lt;&gt;"PC Sum",$D25&lt;&gt;"P Sum",$D25&lt;&gt;"Prov Sum")</xm:f>
            <x14:dxf>
              <font>
                <color theme="0"/>
              </font>
            </x14:dxf>
          </x14:cfRule>
          <xm:sqref>G25:H39</xm:sqref>
        </x14:conditionalFormatting>
        <x14:conditionalFormatting xmlns:xm="http://schemas.microsoft.com/office/excel/2006/main">
          <x14:cfRule type="expression" priority="39" id="{4F015168-91CB-4B50-8297-911F96373D3D}">
            <xm:f>AND(Home!$C$8=FALSE,$D40&lt;&gt;"P C Sum",$D40&lt;&gt;"PC Sum",$D40&lt;&gt;"P Sum",$D40&lt;&gt;"Prov Sum")</xm:f>
            <x14:dxf>
              <font>
                <color theme="0"/>
              </font>
            </x14:dxf>
          </x14:cfRule>
          <xm:sqref>K39:M39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1100-868A-4DD0-9EDB-3045106AFD27}">
  <sheetPr codeName="Sheet5">
    <tabColor theme="9" tint="0.59999389629810485"/>
  </sheetPr>
  <dimension ref="A1:AO26"/>
  <sheetViews>
    <sheetView showGridLines="0" view="pageBreakPreview" zoomScale="145" zoomScaleNormal="100" zoomScaleSheetLayoutView="145" workbookViewId="0">
      <selection activeCell="J5" sqref="J5"/>
    </sheetView>
  </sheetViews>
  <sheetFormatPr defaultColWidth="8.81640625" defaultRowHeight="11.5" x14ac:dyDescent="0.25"/>
  <cols>
    <col min="1" max="1" width="1.1796875" style="53" customWidth="1"/>
    <col min="2" max="2" width="7.453125" style="376" customWidth="1"/>
    <col min="3" max="3" width="41.1796875" style="377" customWidth="1"/>
    <col min="4" max="4" width="9" style="378" customWidth="1"/>
    <col min="5" max="5" width="4.453125" style="378" customWidth="1"/>
    <col min="6" max="6" width="11.6328125" style="378" customWidth="1"/>
    <col min="7" max="7" width="12.1796875" style="53" customWidth="1"/>
    <col min="8" max="8" width="17.453125" style="53" customWidth="1"/>
    <col min="9" max="9" width="1.1796875" style="53" customWidth="1"/>
    <col min="10" max="10" width="13.54296875" style="57" customWidth="1"/>
    <col min="11" max="12" width="14.1796875" style="57" customWidth="1"/>
    <col min="13" max="13" width="14.1796875" style="23" customWidth="1"/>
    <col min="14" max="14" width="7.453125" style="25" customWidth="1"/>
    <col min="15" max="15" width="11.54296875" style="25" customWidth="1"/>
    <col min="16" max="16" width="7.453125" style="25" customWidth="1"/>
    <col min="17" max="17" width="14.453125" style="25" customWidth="1"/>
    <col min="18" max="18" width="11.453125" style="25" bestFit="1" customWidth="1"/>
    <col min="19" max="19" width="5.453125" style="53" customWidth="1"/>
    <col min="20" max="16384" width="8.81640625" style="53"/>
  </cols>
  <sheetData>
    <row r="1" spans="1:41" ht="12" customHeight="1" x14ac:dyDescent="0.25">
      <c r="B1" s="54"/>
      <c r="C1" s="24" t="s">
        <v>61</v>
      </c>
      <c r="D1" s="25"/>
      <c r="E1" s="25"/>
      <c r="F1" s="26" t="s">
        <v>93</v>
      </c>
      <c r="G1" s="24">
        <v>1</v>
      </c>
      <c r="H1" s="55">
        <f>MAX(H2:H49)</f>
        <v>0</v>
      </c>
    </row>
    <row r="2" spans="1:41" ht="12" customHeight="1" x14ac:dyDescent="0.25">
      <c r="A2" s="23"/>
      <c r="B2" s="145"/>
      <c r="C2" s="61"/>
      <c r="D2" s="61"/>
      <c r="E2" s="61"/>
      <c r="F2" s="61"/>
      <c r="G2" s="61"/>
      <c r="H2" s="61"/>
      <c r="I2" s="26"/>
      <c r="J2" s="159"/>
      <c r="K2" s="159"/>
      <c r="L2" s="159"/>
      <c r="M2" s="159"/>
    </row>
    <row r="3" spans="1:41" s="23" customFormat="1" x14ac:dyDescent="0.25">
      <c r="B3" s="309" t="str">
        <f>_Client1</f>
        <v>Province of KwaZulu-Natal</v>
      </c>
      <c r="C3" s="24"/>
      <c r="D3" s="25"/>
      <c r="F3" s="753" t="str">
        <f>"Contract No. "&amp;_ContractNo</f>
        <v>Contract No. ZNB02642/00000/00/HOD/INF/25/T</v>
      </c>
      <c r="G3" s="753"/>
      <c r="H3" s="753"/>
      <c r="J3" s="57"/>
      <c r="K3" s="57"/>
      <c r="L3" s="57"/>
      <c r="O3" s="25"/>
    </row>
    <row r="4" spans="1:41" s="23" customFormat="1" x14ac:dyDescent="0.25">
      <c r="B4" s="310" t="str">
        <f>_Client2</f>
        <v>Department of Transport</v>
      </c>
      <c r="C4" s="24"/>
      <c r="D4" s="25"/>
      <c r="E4" s="25"/>
      <c r="F4" s="25"/>
      <c r="G4" s="25"/>
      <c r="H4" s="25"/>
      <c r="J4" s="57"/>
      <c r="K4" s="57"/>
      <c r="L4" s="57"/>
      <c r="N4" s="26"/>
      <c r="O4" s="25"/>
    </row>
    <row r="6" spans="1:41" s="23" customFormat="1" x14ac:dyDescent="0.25">
      <c r="B6" s="381" t="s">
        <v>21</v>
      </c>
      <c r="C6" s="58"/>
      <c r="D6" s="59"/>
      <c r="E6" s="59"/>
      <c r="F6" s="751" t="str">
        <f>"SECTION "&amp;B11</f>
        <v>SECTION C4.4</v>
      </c>
      <c r="G6" s="751"/>
      <c r="H6" s="752"/>
      <c r="I6" s="494"/>
      <c r="J6" s="160"/>
      <c r="K6" s="160"/>
      <c r="L6" s="160"/>
      <c r="M6" s="35"/>
      <c r="N6" s="25"/>
      <c r="O6" s="25"/>
      <c r="P6" s="25"/>
      <c r="Q6" s="25"/>
      <c r="R6" s="25"/>
    </row>
    <row r="7" spans="1:41" ht="27.9"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495"/>
      <c r="J7" s="161"/>
      <c r="K7" s="161"/>
      <c r="L7" s="161"/>
      <c r="M7" s="162"/>
      <c r="S7" s="23"/>
      <c r="T7" s="23"/>
      <c r="U7" s="23"/>
      <c r="V7" s="23"/>
    </row>
    <row r="8" spans="1:41" ht="8.15" customHeight="1" x14ac:dyDescent="0.25">
      <c r="B8" s="496"/>
      <c r="C8" s="497"/>
      <c r="D8" s="497"/>
      <c r="E8" s="497"/>
      <c r="F8" s="497"/>
      <c r="G8" s="497"/>
      <c r="H8" s="498"/>
      <c r="I8" s="495"/>
      <c r="J8" s="161"/>
      <c r="K8" s="161"/>
      <c r="L8" s="161"/>
      <c r="M8" s="162"/>
      <c r="S8" s="23"/>
      <c r="T8" s="23"/>
      <c r="U8" s="23"/>
      <c r="V8" s="23"/>
    </row>
    <row r="9" spans="1:41" s="390" customFormat="1" ht="20.149999999999999" customHeight="1" x14ac:dyDescent="0.25">
      <c r="B9" s="499" t="s">
        <v>0</v>
      </c>
      <c r="C9" s="500" t="s">
        <v>1</v>
      </c>
      <c r="D9" s="500" t="s">
        <v>2</v>
      </c>
      <c r="E9" s="500" t="s">
        <v>30</v>
      </c>
      <c r="F9" s="500" t="s">
        <v>3</v>
      </c>
      <c r="G9" s="500" t="s">
        <v>4</v>
      </c>
      <c r="H9" s="500" t="s">
        <v>5</v>
      </c>
      <c r="I9" s="10"/>
      <c r="J9" s="159"/>
      <c r="K9" s="159"/>
      <c r="L9" s="159"/>
      <c r="M9" s="10"/>
      <c r="N9" s="25"/>
      <c r="O9" s="25"/>
      <c r="P9" s="25"/>
      <c r="Q9" s="25"/>
      <c r="R9" s="25"/>
      <c r="S9" s="23"/>
      <c r="T9" s="23"/>
      <c r="U9" s="23"/>
      <c r="V9" s="23"/>
    </row>
    <row r="10" spans="1:41" x14ac:dyDescent="0.25">
      <c r="B10" s="7"/>
      <c r="C10" s="352"/>
      <c r="D10" s="1"/>
      <c r="E10" s="1"/>
      <c r="F10" s="70"/>
      <c r="G10" s="501"/>
      <c r="H10" s="501" t="str">
        <f t="shared" ref="H10:H22" si="0">IF(D10="","",F10*G10)</f>
        <v/>
      </c>
      <c r="I10" s="476"/>
      <c r="J10" s="217"/>
      <c r="K10" s="218"/>
      <c r="L10" s="219"/>
      <c r="M10" s="220"/>
      <c r="S10" s="23"/>
      <c r="T10" s="23"/>
      <c r="U10" s="23"/>
      <c r="V10" s="23"/>
    </row>
    <row r="11" spans="1:41" ht="12.5" x14ac:dyDescent="0.25">
      <c r="B11" s="421" t="s">
        <v>336</v>
      </c>
      <c r="C11" s="398" t="s">
        <v>337</v>
      </c>
      <c r="D11" s="1"/>
      <c r="E11" s="1"/>
      <c r="F11" s="70"/>
      <c r="G11" s="501"/>
      <c r="H11" s="501" t="str">
        <f t="shared" si="0"/>
        <v/>
      </c>
      <c r="I11" s="476"/>
      <c r="J11" s="217"/>
      <c r="K11" s="218"/>
      <c r="L11" s="219"/>
      <c r="M11" s="220"/>
      <c r="S11" s="23"/>
      <c r="T11" s="23"/>
      <c r="U11" s="23"/>
      <c r="V11" s="23"/>
      <c r="W11" s="502"/>
      <c r="X11" s="502"/>
      <c r="Y11" s="502"/>
      <c r="Z11" s="502"/>
      <c r="AA11" s="502"/>
      <c r="AB11" s="502"/>
      <c r="AC11" s="502"/>
      <c r="AD11" s="502"/>
      <c r="AE11" s="502"/>
      <c r="AF11" s="502"/>
      <c r="AG11" s="502"/>
      <c r="AH11" s="502"/>
      <c r="AI11" s="502"/>
      <c r="AJ11" s="502"/>
      <c r="AK11" s="502"/>
      <c r="AL11" s="502"/>
      <c r="AM11" s="502"/>
      <c r="AN11" s="502"/>
      <c r="AO11" s="502"/>
    </row>
    <row r="12" spans="1:41" ht="12.5" x14ac:dyDescent="0.25">
      <c r="B12" s="7"/>
      <c r="C12" s="352"/>
      <c r="D12" s="1"/>
      <c r="E12" s="1"/>
      <c r="F12" s="70"/>
      <c r="G12" s="501"/>
      <c r="H12" s="501" t="str">
        <f t="shared" si="0"/>
        <v/>
      </c>
      <c r="I12" s="476"/>
      <c r="J12" s="217"/>
      <c r="K12" s="218"/>
      <c r="L12" s="219"/>
      <c r="M12" s="220"/>
      <c r="S12" s="23"/>
      <c r="T12" s="23"/>
      <c r="U12" s="23"/>
      <c r="V12" s="23"/>
      <c r="W12" s="502"/>
      <c r="X12" s="502"/>
      <c r="Y12" s="502"/>
      <c r="Z12" s="502"/>
      <c r="AA12" s="502"/>
      <c r="AB12" s="502"/>
      <c r="AC12" s="502"/>
      <c r="AD12" s="502"/>
      <c r="AE12" s="502"/>
      <c r="AF12" s="502"/>
      <c r="AG12" s="502"/>
      <c r="AH12" s="502"/>
      <c r="AI12" s="502"/>
      <c r="AJ12" s="502"/>
      <c r="AK12" s="502"/>
      <c r="AL12" s="502"/>
      <c r="AM12" s="502"/>
      <c r="AN12" s="502"/>
      <c r="AO12" s="502"/>
    </row>
    <row r="13" spans="1:41" ht="34.5" x14ac:dyDescent="0.25">
      <c r="B13" s="7" t="s">
        <v>338</v>
      </c>
      <c r="C13" s="352" t="s">
        <v>654</v>
      </c>
      <c r="D13" s="1"/>
      <c r="E13" s="1"/>
      <c r="F13" s="70"/>
      <c r="G13" s="501"/>
      <c r="H13" s="501"/>
      <c r="I13" s="476"/>
      <c r="J13" s="217"/>
      <c r="K13" s="218"/>
      <c r="L13" s="219"/>
      <c r="M13" s="220"/>
      <c r="P13" s="503" t="s">
        <v>33</v>
      </c>
      <c r="Q13" s="503" t="s">
        <v>192</v>
      </c>
      <c r="R13" s="503" t="s">
        <v>89</v>
      </c>
      <c r="S13" s="503" t="s">
        <v>193</v>
      </c>
      <c r="T13" s="503" t="s">
        <v>194</v>
      </c>
      <c r="U13" s="503" t="s">
        <v>78</v>
      </c>
      <c r="V13" s="503" t="s">
        <v>79</v>
      </c>
      <c r="W13" s="502"/>
      <c r="X13" s="502"/>
      <c r="Y13" s="502"/>
      <c r="Z13" s="502"/>
      <c r="AA13" s="502"/>
      <c r="AB13" s="502"/>
      <c r="AC13" s="502"/>
      <c r="AD13" s="502"/>
      <c r="AE13" s="502"/>
      <c r="AF13" s="502"/>
      <c r="AG13" s="502"/>
      <c r="AH13" s="502"/>
      <c r="AI13" s="502"/>
      <c r="AJ13" s="502"/>
      <c r="AK13" s="502"/>
      <c r="AL13" s="502"/>
      <c r="AM13" s="502"/>
      <c r="AN13" s="502"/>
      <c r="AO13" s="502"/>
    </row>
    <row r="14" spans="1:41" ht="12.5" x14ac:dyDescent="0.25">
      <c r="B14" s="504"/>
      <c r="C14" s="352"/>
      <c r="D14" s="1"/>
      <c r="E14" s="1"/>
      <c r="F14" s="70"/>
      <c r="G14" s="501"/>
      <c r="H14" s="501"/>
      <c r="I14" s="476"/>
      <c r="J14" s="217"/>
      <c r="K14" s="218"/>
      <c r="L14" s="219"/>
      <c r="M14" s="220"/>
      <c r="P14" s="503"/>
      <c r="Q14" s="503"/>
      <c r="R14" s="503"/>
      <c r="S14" s="503"/>
      <c r="T14" s="503"/>
      <c r="U14" s="503"/>
      <c r="V14" s="503"/>
      <c r="W14" s="502"/>
      <c r="X14" s="502"/>
      <c r="Y14" s="502"/>
      <c r="Z14" s="502"/>
      <c r="AA14" s="502"/>
      <c r="AB14" s="502"/>
      <c r="AC14" s="502"/>
      <c r="AD14" s="502"/>
      <c r="AE14" s="502"/>
      <c r="AF14" s="502"/>
      <c r="AG14" s="502"/>
      <c r="AH14" s="502"/>
      <c r="AI14" s="502"/>
      <c r="AJ14" s="502"/>
      <c r="AK14" s="502"/>
      <c r="AL14" s="502"/>
      <c r="AM14" s="502"/>
      <c r="AN14" s="502"/>
      <c r="AO14" s="502"/>
    </row>
    <row r="15" spans="1:41" ht="14.25" customHeight="1" x14ac:dyDescent="0.25">
      <c r="B15" s="7" t="s">
        <v>339</v>
      </c>
      <c r="C15" s="352" t="s">
        <v>340</v>
      </c>
      <c r="D15" s="434"/>
      <c r="E15" s="505"/>
      <c r="F15" s="130"/>
      <c r="G15" s="506"/>
      <c r="H15" s="507"/>
      <c r="I15" s="401"/>
      <c r="J15" s="360"/>
      <c r="K15" s="218"/>
      <c r="L15" s="219"/>
      <c r="M15" s="220"/>
      <c r="W15" s="502"/>
      <c r="X15" s="502"/>
      <c r="Y15" s="502"/>
      <c r="Z15" s="502"/>
      <c r="AA15" s="502"/>
      <c r="AB15" s="502"/>
      <c r="AC15" s="502"/>
      <c r="AD15" s="502"/>
      <c r="AE15" s="502"/>
      <c r="AF15" s="502"/>
      <c r="AG15" s="502"/>
      <c r="AH15" s="502"/>
      <c r="AI15" s="502"/>
      <c r="AJ15" s="502"/>
      <c r="AK15" s="502"/>
      <c r="AL15" s="502"/>
      <c r="AM15" s="502"/>
      <c r="AN15" s="502"/>
      <c r="AO15" s="502"/>
    </row>
    <row r="16" spans="1:41" ht="14.25" customHeight="1" x14ac:dyDescent="0.25">
      <c r="B16" s="7"/>
      <c r="C16" s="352"/>
      <c r="D16" s="3"/>
      <c r="E16" s="508"/>
      <c r="F16" s="128"/>
      <c r="G16" s="509"/>
      <c r="H16" s="510"/>
      <c r="I16" s="401"/>
      <c r="J16" s="360"/>
      <c r="K16" s="218"/>
      <c r="L16" s="219"/>
      <c r="M16" s="220"/>
      <c r="W16" s="502"/>
      <c r="X16" s="502"/>
      <c r="Y16" s="502"/>
      <c r="Z16" s="502"/>
      <c r="AA16" s="502"/>
      <c r="AB16" s="502"/>
      <c r="AC16" s="502"/>
      <c r="AD16" s="502"/>
      <c r="AE16" s="502"/>
      <c r="AF16" s="502"/>
      <c r="AG16" s="502"/>
      <c r="AH16" s="502"/>
      <c r="AI16" s="502"/>
      <c r="AJ16" s="502"/>
      <c r="AK16" s="502"/>
      <c r="AL16" s="502"/>
      <c r="AM16" s="502"/>
      <c r="AN16" s="502"/>
      <c r="AO16" s="502"/>
    </row>
    <row r="17" spans="1:41" ht="14.25" customHeight="1" x14ac:dyDescent="0.25">
      <c r="B17" s="7"/>
      <c r="C17" s="352" t="s">
        <v>575</v>
      </c>
      <c r="D17" s="3" t="s">
        <v>72</v>
      </c>
      <c r="E17" s="508"/>
      <c r="F17" s="128">
        <v>14145</v>
      </c>
      <c r="G17" s="171">
        <v>0</v>
      </c>
      <c r="H17" s="237">
        <f>IF(D17="","",F17*G17)</f>
        <v>0</v>
      </c>
      <c r="I17" s="401"/>
      <c r="J17" s="360"/>
      <c r="K17" s="218"/>
      <c r="L17" s="219"/>
      <c r="M17" s="220"/>
      <c r="W17" s="502"/>
      <c r="X17" s="502"/>
      <c r="Y17" s="502"/>
      <c r="Z17" s="502"/>
      <c r="AA17" s="502"/>
      <c r="AB17" s="502"/>
      <c r="AC17" s="502"/>
      <c r="AD17" s="502"/>
      <c r="AE17" s="502"/>
      <c r="AF17" s="502"/>
      <c r="AG17" s="502"/>
      <c r="AH17" s="502"/>
      <c r="AI17" s="502"/>
      <c r="AJ17" s="502"/>
      <c r="AK17" s="502"/>
      <c r="AL17" s="502"/>
      <c r="AM17" s="502"/>
      <c r="AN17" s="502"/>
      <c r="AO17" s="502"/>
    </row>
    <row r="18" spans="1:41" ht="14.25" customHeight="1" x14ac:dyDescent="0.25">
      <c r="B18" s="7"/>
      <c r="C18" s="352"/>
      <c r="D18" s="3"/>
      <c r="E18" s="508"/>
      <c r="F18" s="128"/>
      <c r="G18" s="509"/>
      <c r="H18" s="510"/>
      <c r="I18" s="401"/>
      <c r="J18" s="360"/>
      <c r="K18" s="218"/>
      <c r="L18" s="219"/>
      <c r="M18" s="220"/>
      <c r="W18" s="502"/>
      <c r="X18" s="502"/>
      <c r="Y18" s="502"/>
      <c r="Z18" s="502"/>
      <c r="AA18" s="502"/>
      <c r="AB18" s="502"/>
      <c r="AC18" s="502"/>
      <c r="AD18" s="502"/>
      <c r="AE18" s="502"/>
      <c r="AF18" s="502"/>
      <c r="AG18" s="502"/>
      <c r="AH18" s="502"/>
      <c r="AI18" s="502"/>
      <c r="AJ18" s="502"/>
      <c r="AK18" s="502"/>
      <c r="AL18" s="502"/>
      <c r="AM18" s="502"/>
      <c r="AN18" s="502"/>
      <c r="AO18" s="502"/>
    </row>
    <row r="19" spans="1:41" ht="12.75" customHeight="1" x14ac:dyDescent="0.25">
      <c r="B19" s="7"/>
      <c r="C19" s="352" t="s">
        <v>573</v>
      </c>
      <c r="D19" s="3" t="s">
        <v>72</v>
      </c>
      <c r="E19" s="508"/>
      <c r="F19" s="128">
        <v>11504</v>
      </c>
      <c r="G19" s="171">
        <v>0</v>
      </c>
      <c r="H19" s="237">
        <f>IF(D19="","",F19*G19)</f>
        <v>0</v>
      </c>
      <c r="I19" s="401"/>
      <c r="J19" s="360"/>
      <c r="K19" s="218"/>
      <c r="L19" s="219"/>
      <c r="M19" s="220"/>
      <c r="P19" s="511">
        <v>10780</v>
      </c>
      <c r="Q19" s="512">
        <v>7</v>
      </c>
      <c r="R19" s="511">
        <f>+P19*Q19</f>
        <v>75460</v>
      </c>
      <c r="S19" s="511">
        <v>0.125</v>
      </c>
      <c r="T19" s="513">
        <f>+P19*Q19*S19</f>
        <v>9432.5</v>
      </c>
      <c r="U19" s="514">
        <f>S19*Q19*P19</f>
        <v>9432.5</v>
      </c>
      <c r="V19" s="312">
        <f>P19*S19</f>
        <v>1347.5</v>
      </c>
      <c r="W19" s="502"/>
      <c r="X19" s="502"/>
      <c r="Y19" s="502"/>
      <c r="Z19" s="502"/>
      <c r="AA19" s="502"/>
      <c r="AB19" s="502"/>
      <c r="AC19" s="502"/>
      <c r="AD19" s="502"/>
      <c r="AE19" s="502"/>
      <c r="AF19" s="502"/>
      <c r="AG19" s="502"/>
      <c r="AH19" s="502"/>
      <c r="AI19" s="502"/>
      <c r="AJ19" s="502"/>
      <c r="AK19" s="502"/>
      <c r="AL19" s="502"/>
      <c r="AM19" s="502"/>
      <c r="AN19" s="502"/>
      <c r="AO19" s="502"/>
    </row>
    <row r="20" spans="1:41" ht="14.5" x14ac:dyDescent="0.25">
      <c r="B20" s="7"/>
      <c r="C20" s="352"/>
      <c r="D20" s="3"/>
      <c r="E20" s="3"/>
      <c r="F20" s="128"/>
      <c r="G20" s="509"/>
      <c r="H20" s="509" t="str">
        <f t="shared" si="0"/>
        <v/>
      </c>
      <c r="I20" s="476"/>
      <c r="J20" s="217"/>
      <c r="K20" s="218"/>
      <c r="L20" s="219"/>
      <c r="M20" s="220"/>
      <c r="P20" s="511">
        <v>1000</v>
      </c>
      <c r="Q20" s="511">
        <v>3.5</v>
      </c>
      <c r="R20" s="511">
        <f>+P20*Q20</f>
        <v>3500</v>
      </c>
      <c r="S20" s="511">
        <v>0.125</v>
      </c>
      <c r="T20" s="502"/>
      <c r="U20" s="514">
        <f>S20*Q20*P20</f>
        <v>437.5</v>
      </c>
      <c r="V20" s="502"/>
      <c r="W20" s="502"/>
      <c r="X20" s="502"/>
      <c r="Y20" s="502"/>
      <c r="Z20" s="502"/>
      <c r="AA20" s="502"/>
      <c r="AB20" s="502"/>
      <c r="AC20" s="502"/>
      <c r="AD20" s="515" t="s">
        <v>33</v>
      </c>
      <c r="AE20" s="516" t="s">
        <v>31</v>
      </c>
      <c r="AF20" s="514"/>
      <c r="AG20" s="516" t="s">
        <v>32</v>
      </c>
      <c r="AH20" s="514"/>
      <c r="AI20" s="516" t="s">
        <v>78</v>
      </c>
      <c r="AJ20" s="516"/>
      <c r="AK20" s="516" t="s">
        <v>79</v>
      </c>
      <c r="AL20" s="502"/>
      <c r="AM20" s="502"/>
      <c r="AN20" s="502"/>
      <c r="AO20" s="502"/>
    </row>
    <row r="21" spans="1:41" ht="12.75" customHeight="1" x14ac:dyDescent="0.25">
      <c r="B21" s="7"/>
      <c r="C21" s="352" t="s">
        <v>574</v>
      </c>
      <c r="D21" s="3" t="s">
        <v>72</v>
      </c>
      <c r="E21" s="508"/>
      <c r="F21" s="128">
        <v>12840</v>
      </c>
      <c r="G21" s="171">
        <v>0</v>
      </c>
      <c r="H21" s="237">
        <f>IF(D21="","",F21*G21)</f>
        <v>0</v>
      </c>
      <c r="I21" s="401"/>
      <c r="J21" s="360"/>
      <c r="K21" s="218"/>
      <c r="L21" s="219"/>
      <c r="M21" s="220"/>
      <c r="P21" s="511">
        <v>10780</v>
      </c>
      <c r="Q21" s="512">
        <v>7</v>
      </c>
      <c r="R21" s="511">
        <f>+P21*Q21</f>
        <v>75460</v>
      </c>
      <c r="S21" s="511">
        <v>0.125</v>
      </c>
      <c r="T21" s="513">
        <f>+P21*Q21*S21</f>
        <v>9432.5</v>
      </c>
      <c r="U21" s="514">
        <f>S21*Q21*P21</f>
        <v>9432.5</v>
      </c>
      <c r="V21" s="312">
        <f>P21*S21</f>
        <v>1347.5</v>
      </c>
      <c r="W21" s="502"/>
      <c r="X21" s="502"/>
      <c r="Y21" s="502"/>
      <c r="Z21" s="502"/>
      <c r="AA21" s="502"/>
      <c r="AB21" s="502"/>
      <c r="AC21" s="502"/>
      <c r="AD21" s="502"/>
      <c r="AE21" s="502"/>
      <c r="AF21" s="502"/>
      <c r="AG21" s="502"/>
      <c r="AH21" s="502"/>
      <c r="AI21" s="502"/>
      <c r="AJ21" s="502"/>
      <c r="AK21" s="502"/>
      <c r="AL21" s="502"/>
      <c r="AM21" s="502"/>
      <c r="AN21" s="502"/>
      <c r="AO21" s="502"/>
    </row>
    <row r="22" spans="1:41" s="25" customFormat="1" ht="12" customHeight="1" x14ac:dyDescent="0.25">
      <c r="A22" s="53"/>
      <c r="B22" s="7"/>
      <c r="C22" s="352"/>
      <c r="D22" s="3"/>
      <c r="E22" s="3"/>
      <c r="F22" s="128"/>
      <c r="G22" s="509"/>
      <c r="H22" s="509" t="str">
        <f t="shared" si="0"/>
        <v/>
      </c>
      <c r="I22" s="476"/>
      <c r="J22" s="217"/>
      <c r="K22" s="218"/>
      <c r="L22" s="219"/>
      <c r="M22" s="220"/>
      <c r="Q22" s="517"/>
      <c r="S22" s="53"/>
      <c r="T22" s="53"/>
      <c r="U22" s="53"/>
      <c r="V22" s="53"/>
      <c r="W22" s="53"/>
      <c r="X22" s="53"/>
      <c r="Y22" s="53"/>
    </row>
    <row r="23" spans="1:41" s="25" customFormat="1" ht="22.5" customHeight="1" x14ac:dyDescent="0.25">
      <c r="A23" s="53"/>
      <c r="B23" s="29" t="str">
        <f>B11</f>
        <v>C4.4</v>
      </c>
      <c r="C23" s="28" t="str">
        <f>"TOTAL CARRIED FORWARD"&amp;IF(H23=H$1," TO SUMMARY")</f>
        <v>TOTAL CARRIED FORWARD TO SUMMARY</v>
      </c>
      <c r="D23" s="469"/>
      <c r="E23" s="469"/>
      <c r="F23" s="470"/>
      <c r="G23" s="471"/>
      <c r="H23" s="253">
        <f>SUM(H16:H22)</f>
        <v>0</v>
      </c>
      <c r="I23" s="518"/>
      <c r="J23" s="254"/>
      <c r="K23" s="254"/>
      <c r="L23" s="255"/>
      <c r="M23" s="256"/>
      <c r="O23" s="519"/>
      <c r="Q23" s="517"/>
      <c r="S23" s="53"/>
      <c r="T23" s="53"/>
      <c r="U23" s="53"/>
      <c r="V23" s="53"/>
      <c r="W23" s="53"/>
      <c r="X23" s="53"/>
      <c r="Y23" s="53"/>
    </row>
    <row r="24" spans="1:41" ht="6" customHeight="1" x14ac:dyDescent="0.25">
      <c r="L24" s="71"/>
    </row>
    <row r="25" spans="1:41" ht="12" customHeight="1" x14ac:dyDescent="0.25">
      <c r="L25" s="71"/>
    </row>
    <row r="26" spans="1:41" ht="12" customHeight="1" x14ac:dyDescent="0.25">
      <c r="L26" s="71"/>
    </row>
  </sheetData>
  <sheetProtection algorithmName="SHA-512" hashValue="/CPZjpcTch5ph61THOe5cvGs2ndXgXh4eJCU0Ni2HurTUm/jT2tUI60BkTX8BE3y9Xr/dJjP6fDynew/sttZug==" saltValue="roRNnDHkBAqk7kJLB4vsdA==" spinCount="100000" sheet="1" objects="1" scenarios="1"/>
  <mergeCells count="3">
    <mergeCell ref="F3:H3"/>
    <mergeCell ref="F6:H6"/>
    <mergeCell ref="B7:H7"/>
  </mergeCells>
  <pageMargins left="0.7" right="0.7" top="0.75" bottom="0.75" header="0.3" footer="0.3"/>
  <pageSetup paperSize="9" scale="84" orientation="portrait" r:id="rId1"/>
  <extLst>
    <ext xmlns:x14="http://schemas.microsoft.com/office/spreadsheetml/2009/9/main" uri="{78C0D931-6437-407d-A8EE-F0AAD7539E65}">
      <x14:conditionalFormattings>
        <x14:conditionalFormatting xmlns:xm="http://schemas.microsoft.com/office/excel/2006/main">
          <x14:cfRule type="expression" priority="1" id="{798768DA-BF7C-4A77-9A9D-2841F34A05F9}">
            <xm:f>AND(Home!$C$8=FALSE,$D10&lt;&gt;"P C Sum",$D10&lt;&gt;"PC Sum",$D10&lt;&gt;"P Sum",$D10&lt;&gt;"Prov Sum")</xm:f>
            <x14:dxf>
              <font>
                <color theme="0"/>
              </font>
            </x14:dxf>
          </x14:cfRule>
          <xm:sqref>G10:H23</xm:sqref>
        </x14:conditionalFormatting>
        <x14:conditionalFormatting xmlns:xm="http://schemas.microsoft.com/office/excel/2006/main">
          <x14:cfRule type="expression" priority="10" id="{7859DC12-A7AE-4115-9978-656DCF21287D}">
            <xm:f>AND(Home!$C$8=FALSE,#REF!&lt;&gt;"P C Sum",#REF!&lt;&gt;"PC Sum",#REF!&lt;&gt;"P Sum",#REF!&lt;&gt;"Prov Sum")</xm:f>
            <x14:dxf>
              <font>
                <color theme="0"/>
              </font>
            </x14:dxf>
          </x14:cfRule>
          <xm:sqref>K23:M23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D827-E0A8-4929-B27F-23D0D9282C2B}">
  <sheetPr codeName="Sheet6">
    <tabColor theme="9" tint="0.59999389629810485"/>
  </sheetPr>
  <dimension ref="A1:AO52"/>
  <sheetViews>
    <sheetView showGridLines="0" view="pageBreakPreview" zoomScaleNormal="130" zoomScaleSheetLayoutView="100" workbookViewId="0">
      <pane xSplit="5" ySplit="2" topLeftCell="F3" activePane="bottomRight" state="frozen"/>
      <selection activeCell="F47" sqref="F47"/>
      <selection pane="topRight" activeCell="F47" sqref="F47"/>
      <selection pane="bottomLeft" activeCell="F47" sqref="F47"/>
      <selection pane="bottomRight" activeCell="J7" sqref="J7"/>
    </sheetView>
  </sheetViews>
  <sheetFormatPr defaultColWidth="8.81640625" defaultRowHeight="12" customHeight="1" x14ac:dyDescent="0.25"/>
  <cols>
    <col min="1" max="1" width="1.1796875" style="53" customWidth="1"/>
    <col min="2" max="2" width="7.453125" style="376" customWidth="1"/>
    <col min="3" max="3" width="41.1796875" style="377" customWidth="1"/>
    <col min="4" max="4" width="9" style="378" customWidth="1"/>
    <col min="5" max="5" width="4.453125" style="378" customWidth="1"/>
    <col min="6" max="6" width="11.6328125" style="378" customWidth="1"/>
    <col min="7" max="7" width="12.1796875" style="53" customWidth="1"/>
    <col min="8" max="8" width="17" style="53" customWidth="1"/>
    <col min="9" max="9" width="1.6328125" style="53" customWidth="1"/>
    <col min="10" max="10" width="13.54296875" style="57" customWidth="1"/>
    <col min="11" max="12" width="14.1796875" style="57" customWidth="1"/>
    <col min="13" max="13" width="14.1796875" style="23" customWidth="1"/>
    <col min="14" max="14" width="7.453125" style="25" customWidth="1"/>
    <col min="15" max="15" width="11.54296875" style="25" customWidth="1"/>
    <col min="16" max="16" width="7.453125" style="25" customWidth="1"/>
    <col min="17" max="17" width="14.453125" style="25" customWidth="1"/>
    <col min="18" max="18" width="11.453125" style="25" bestFit="1" customWidth="1"/>
    <col min="19" max="19" width="5.453125" style="53" customWidth="1"/>
    <col min="20" max="16384" width="8.81640625" style="53"/>
  </cols>
  <sheetData>
    <row r="1" spans="1:41" ht="12" customHeight="1" x14ac:dyDescent="0.25">
      <c r="B1" s="54"/>
      <c r="C1" s="24" t="s">
        <v>61</v>
      </c>
      <c r="D1" s="25"/>
      <c r="E1" s="25"/>
      <c r="F1" s="26" t="s">
        <v>93</v>
      </c>
      <c r="G1" s="24">
        <v>1</v>
      </c>
      <c r="H1" s="55">
        <f>MAX(H2:H75)</f>
        <v>0</v>
      </c>
    </row>
    <row r="2" spans="1:41" ht="12" customHeight="1" x14ac:dyDescent="0.25">
      <c r="A2" s="23"/>
      <c r="B2" s="145"/>
      <c r="C2" s="61"/>
      <c r="D2" s="61"/>
      <c r="E2" s="61"/>
      <c r="F2" s="61"/>
      <c r="G2" s="61"/>
      <c r="H2" s="61"/>
      <c r="I2" s="26"/>
      <c r="J2" s="159"/>
      <c r="K2" s="159"/>
      <c r="L2" s="159"/>
      <c r="M2" s="159"/>
    </row>
    <row r="3" spans="1:41" s="23" customFormat="1" ht="11.5" x14ac:dyDescent="0.25">
      <c r="B3" s="309" t="str">
        <f>_Client1</f>
        <v>Province of KwaZulu-Natal</v>
      </c>
      <c r="C3" s="24"/>
      <c r="D3" s="25"/>
      <c r="F3" s="753" t="str">
        <f>"Contract No. "&amp;_ContractNo</f>
        <v>Contract No. ZNB02642/00000/00/HOD/INF/25/T</v>
      </c>
      <c r="G3" s="753"/>
      <c r="H3" s="753"/>
      <c r="J3" s="57"/>
      <c r="K3" s="57"/>
      <c r="L3" s="57"/>
      <c r="O3" s="25"/>
    </row>
    <row r="4" spans="1:41" s="23" customFormat="1" ht="11.5" x14ac:dyDescent="0.25">
      <c r="B4" s="310" t="str">
        <f>_Client2</f>
        <v>Department of Transport</v>
      </c>
      <c r="C4" s="24"/>
      <c r="D4" s="25"/>
      <c r="E4" s="25"/>
      <c r="F4" s="25"/>
      <c r="G4" s="25"/>
      <c r="H4" s="25"/>
      <c r="J4" s="57"/>
      <c r="K4" s="57"/>
      <c r="L4" s="57"/>
      <c r="N4" s="26"/>
      <c r="O4" s="25"/>
    </row>
    <row r="5" spans="1:41" ht="11.5" x14ac:dyDescent="0.25"/>
    <row r="6" spans="1:41" s="23" customFormat="1" ht="11.5" x14ac:dyDescent="0.25">
      <c r="B6" s="381" t="s">
        <v>21</v>
      </c>
      <c r="C6" s="58"/>
      <c r="D6" s="59"/>
      <c r="E6" s="59"/>
      <c r="F6" s="751" t="str">
        <f>"SECTION "&amp;B11</f>
        <v>SECTION C5.1</v>
      </c>
      <c r="G6" s="751"/>
      <c r="H6" s="752"/>
      <c r="I6" s="494"/>
      <c r="J6" s="160"/>
      <c r="K6" s="160"/>
      <c r="L6" s="160"/>
      <c r="M6" s="35"/>
      <c r="N6" s="25"/>
      <c r="O6" s="25"/>
      <c r="P6" s="25"/>
      <c r="Q6" s="25"/>
      <c r="R6" s="25"/>
    </row>
    <row r="7" spans="1:41" ht="25.25" customHeight="1" x14ac:dyDescent="0.25">
      <c r="B7" s="763" t="str">
        <f>_Description</f>
        <v>COMPLETION OF PARTLY CONSTRUCTED ROAD, PRISM, DRAINAGE, LAYERWORKS AND SURFACING ON DISTRICT ROAD 1841, KM 4.50 TO KM 10.24 IN THE EMPANGENI REGION.</v>
      </c>
      <c r="C7" s="764"/>
      <c r="D7" s="764"/>
      <c r="E7" s="764"/>
      <c r="F7" s="764"/>
      <c r="G7" s="764"/>
      <c r="H7" s="765"/>
      <c r="I7" s="495"/>
      <c r="J7" s="161"/>
      <c r="K7" s="161"/>
      <c r="L7" s="161"/>
      <c r="M7" s="162"/>
      <c r="S7" s="23"/>
      <c r="T7" s="23"/>
      <c r="U7" s="23"/>
      <c r="V7" s="23"/>
    </row>
    <row r="8" spans="1:41" ht="8.15" customHeight="1" x14ac:dyDescent="0.25">
      <c r="B8" s="496"/>
      <c r="C8" s="497"/>
      <c r="D8" s="497"/>
      <c r="E8" s="497"/>
      <c r="F8" s="497"/>
      <c r="G8" s="497"/>
      <c r="H8" s="498"/>
      <c r="I8" s="495"/>
      <c r="J8" s="161"/>
      <c r="K8" s="161"/>
      <c r="L8" s="161"/>
      <c r="M8" s="162"/>
      <c r="S8" s="23"/>
      <c r="T8" s="23"/>
      <c r="U8" s="23"/>
      <c r="V8" s="23"/>
    </row>
    <row r="9" spans="1:41" s="390" customFormat="1" ht="20.149999999999999" customHeight="1" x14ac:dyDescent="0.25">
      <c r="B9" s="499" t="s">
        <v>0</v>
      </c>
      <c r="C9" s="500" t="s">
        <v>1</v>
      </c>
      <c r="D9" s="500" t="s">
        <v>2</v>
      </c>
      <c r="E9" s="500" t="s">
        <v>30</v>
      </c>
      <c r="F9" s="500" t="s">
        <v>3</v>
      </c>
      <c r="G9" s="500" t="s">
        <v>4</v>
      </c>
      <c r="H9" s="500" t="s">
        <v>5</v>
      </c>
      <c r="I9" s="10"/>
      <c r="J9" s="159"/>
      <c r="K9" s="159"/>
      <c r="L9" s="159"/>
      <c r="M9" s="10"/>
      <c r="N9" s="25"/>
      <c r="O9" s="25"/>
      <c r="P9" s="25"/>
      <c r="Q9" s="25"/>
      <c r="R9" s="25"/>
      <c r="S9" s="23"/>
      <c r="T9" s="23"/>
      <c r="U9" s="23"/>
      <c r="V9" s="23"/>
    </row>
    <row r="10" spans="1:41" ht="11.5" x14ac:dyDescent="0.25">
      <c r="B10" s="7"/>
      <c r="C10" s="352"/>
      <c r="D10" s="1"/>
      <c r="E10" s="1"/>
      <c r="F10" s="70"/>
      <c r="G10" s="501"/>
      <c r="H10" s="501" t="str">
        <f t="shared" ref="H10:H48" si="0">IF(D10="","",F10*G10)</f>
        <v/>
      </c>
      <c r="I10" s="476"/>
      <c r="J10" s="217"/>
      <c r="K10" s="218"/>
      <c r="L10" s="219"/>
      <c r="M10" s="220"/>
      <c r="S10" s="23"/>
      <c r="T10" s="23"/>
      <c r="U10" s="23"/>
      <c r="V10" s="23"/>
    </row>
    <row r="11" spans="1:41" ht="12.5" x14ac:dyDescent="0.25">
      <c r="B11" s="421" t="s">
        <v>416</v>
      </c>
      <c r="C11" s="398" t="s">
        <v>415</v>
      </c>
      <c r="D11" s="1"/>
      <c r="E11" s="1"/>
      <c r="F11" s="70"/>
      <c r="G11" s="501"/>
      <c r="H11" s="501" t="str">
        <f t="shared" si="0"/>
        <v/>
      </c>
      <c r="I11" s="476"/>
      <c r="J11" s="217"/>
      <c r="K11" s="218"/>
      <c r="L11" s="219"/>
      <c r="M11" s="220"/>
      <c r="S11" s="23"/>
      <c r="T11" s="23"/>
      <c r="U11" s="23"/>
      <c r="V11" s="23"/>
      <c r="W11" s="502"/>
      <c r="X11" s="502"/>
      <c r="Y11" s="502"/>
      <c r="Z11" s="502"/>
      <c r="AA11" s="502"/>
      <c r="AB11" s="502"/>
      <c r="AC11" s="502"/>
      <c r="AD11" s="502"/>
      <c r="AE11" s="502"/>
      <c r="AF11" s="502"/>
      <c r="AG11" s="502"/>
      <c r="AH11" s="502"/>
      <c r="AI11" s="502"/>
      <c r="AJ11" s="502"/>
      <c r="AK11" s="502"/>
      <c r="AL11" s="502"/>
      <c r="AM11" s="502"/>
      <c r="AN11" s="502"/>
      <c r="AO11" s="502"/>
    </row>
    <row r="12" spans="1:41" ht="12.5" x14ac:dyDescent="0.25">
      <c r="B12" s="421"/>
      <c r="C12" s="398"/>
      <c r="D12" s="1"/>
      <c r="E12" s="1"/>
      <c r="F12" s="70"/>
      <c r="G12" s="501"/>
      <c r="H12" s="501"/>
      <c r="I12" s="476"/>
      <c r="J12" s="217"/>
      <c r="K12" s="218"/>
      <c r="L12" s="219"/>
      <c r="M12" s="220"/>
      <c r="S12" s="23"/>
      <c r="T12" s="23"/>
      <c r="U12" s="23"/>
      <c r="V12" s="23"/>
      <c r="W12" s="502"/>
      <c r="X12" s="502"/>
      <c r="Y12" s="502"/>
      <c r="Z12" s="502"/>
      <c r="AA12" s="502"/>
      <c r="AB12" s="502"/>
      <c r="AC12" s="502"/>
      <c r="AD12" s="502"/>
      <c r="AE12" s="502"/>
      <c r="AF12" s="502"/>
      <c r="AG12" s="502"/>
      <c r="AH12" s="502"/>
      <c r="AI12" s="502"/>
      <c r="AJ12" s="502"/>
      <c r="AK12" s="502"/>
      <c r="AL12" s="502"/>
      <c r="AM12" s="502"/>
      <c r="AN12" s="502"/>
      <c r="AO12" s="502"/>
    </row>
    <row r="13" spans="1:41" ht="12.5" x14ac:dyDescent="0.25">
      <c r="B13" s="7" t="s">
        <v>417</v>
      </c>
      <c r="C13" s="352" t="s">
        <v>418</v>
      </c>
      <c r="D13" s="1"/>
      <c r="E13" s="1"/>
      <c r="F13" s="70"/>
      <c r="G13" s="501"/>
      <c r="H13" s="501"/>
      <c r="I13" s="476"/>
      <c r="J13" s="217"/>
      <c r="K13" s="218"/>
      <c r="L13" s="219"/>
      <c r="M13" s="220"/>
      <c r="S13" s="23"/>
      <c r="T13" s="23"/>
      <c r="U13" s="23"/>
      <c r="V13" s="23"/>
      <c r="W13" s="502"/>
      <c r="X13" s="502"/>
      <c r="Y13" s="502"/>
      <c r="Z13" s="502"/>
      <c r="AA13" s="502"/>
      <c r="AB13" s="502"/>
      <c r="AC13" s="502"/>
      <c r="AD13" s="502"/>
      <c r="AE13" s="502"/>
      <c r="AF13" s="502"/>
      <c r="AG13" s="502"/>
      <c r="AH13" s="502"/>
      <c r="AI13" s="502"/>
      <c r="AJ13" s="502"/>
      <c r="AK13" s="502"/>
      <c r="AL13" s="502"/>
      <c r="AM13" s="502"/>
      <c r="AN13" s="502"/>
      <c r="AO13" s="502"/>
    </row>
    <row r="14" spans="1:41" ht="12.5" x14ac:dyDescent="0.25">
      <c r="B14" s="7"/>
      <c r="C14" s="352"/>
      <c r="D14" s="3"/>
      <c r="E14" s="3"/>
      <c r="F14" s="128"/>
      <c r="G14" s="509"/>
      <c r="H14" s="509" t="str">
        <f t="shared" si="0"/>
        <v/>
      </c>
      <c r="I14" s="476"/>
      <c r="J14" s="217"/>
      <c r="K14" s="218"/>
      <c r="L14" s="219"/>
      <c r="M14" s="220"/>
      <c r="S14" s="23"/>
      <c r="T14" s="23"/>
      <c r="U14" s="23"/>
      <c r="V14" s="23"/>
      <c r="W14" s="502"/>
      <c r="X14" s="502"/>
      <c r="Y14" s="502"/>
      <c r="Z14" s="502"/>
      <c r="AA14" s="502"/>
      <c r="AB14" s="502"/>
      <c r="AC14" s="502"/>
      <c r="AD14" s="502"/>
      <c r="AE14" s="502"/>
      <c r="AF14" s="502"/>
      <c r="AG14" s="502"/>
      <c r="AH14" s="502"/>
      <c r="AI14" s="502"/>
      <c r="AJ14" s="502"/>
      <c r="AK14" s="502"/>
      <c r="AL14" s="502"/>
      <c r="AM14" s="502"/>
      <c r="AN14" s="502"/>
      <c r="AO14" s="502"/>
    </row>
    <row r="15" spans="1:41" ht="15" customHeight="1" x14ac:dyDescent="0.25">
      <c r="B15" s="7" t="s">
        <v>420</v>
      </c>
      <c r="C15" s="352" t="s">
        <v>419</v>
      </c>
      <c r="D15" s="3" t="s">
        <v>13</v>
      </c>
      <c r="E15" s="3"/>
      <c r="F15" s="128">
        <v>21827</v>
      </c>
      <c r="G15" s="171">
        <v>0</v>
      </c>
      <c r="H15" s="237">
        <f>IF(D15="","",F15*G15)</f>
        <v>0</v>
      </c>
      <c r="I15" s="476"/>
      <c r="J15" s="520"/>
      <c r="K15" s="521"/>
      <c r="L15" s="522"/>
      <c r="M15" s="220"/>
      <c r="P15" s="503"/>
      <c r="Q15" s="503"/>
      <c r="R15" s="503"/>
      <c r="S15" s="503"/>
      <c r="T15" s="503"/>
      <c r="U15" s="503"/>
      <c r="V15" s="503"/>
      <c r="W15" s="502"/>
      <c r="X15" s="502"/>
      <c r="Y15" s="502"/>
      <c r="Z15" s="502"/>
      <c r="AA15" s="502"/>
      <c r="AB15" s="502"/>
      <c r="AC15" s="502"/>
      <c r="AD15" s="502"/>
      <c r="AE15" s="502"/>
      <c r="AF15" s="502"/>
      <c r="AG15" s="502"/>
      <c r="AH15" s="502"/>
      <c r="AI15" s="502"/>
      <c r="AJ15" s="502"/>
      <c r="AK15" s="502"/>
      <c r="AL15" s="502"/>
      <c r="AM15" s="502"/>
      <c r="AN15" s="502"/>
      <c r="AO15" s="502"/>
    </row>
    <row r="16" spans="1:41" ht="12.5" x14ac:dyDescent="0.25">
      <c r="B16" s="504"/>
      <c r="C16" s="352"/>
      <c r="D16" s="3"/>
      <c r="E16" s="3"/>
      <c r="F16" s="128"/>
      <c r="G16" s="509"/>
      <c r="H16" s="523"/>
      <c r="I16" s="476"/>
      <c r="J16" s="520"/>
      <c r="K16" s="521"/>
      <c r="L16" s="522"/>
      <c r="M16" s="220"/>
      <c r="P16" s="503"/>
      <c r="Q16" s="503"/>
      <c r="R16" s="503"/>
      <c r="S16" s="503"/>
      <c r="T16" s="503"/>
      <c r="U16" s="503"/>
      <c r="V16" s="503"/>
      <c r="W16" s="502"/>
      <c r="X16" s="502"/>
      <c r="Y16" s="502"/>
      <c r="Z16" s="502"/>
      <c r="AA16" s="502"/>
      <c r="AB16" s="502"/>
      <c r="AC16" s="502"/>
      <c r="AD16" s="502"/>
      <c r="AE16" s="502"/>
      <c r="AF16" s="502"/>
      <c r="AG16" s="502"/>
      <c r="AH16" s="502"/>
      <c r="AI16" s="502"/>
      <c r="AJ16" s="502"/>
      <c r="AK16" s="502"/>
      <c r="AL16" s="502"/>
      <c r="AM16" s="502"/>
      <c r="AN16" s="502"/>
      <c r="AO16" s="502"/>
    </row>
    <row r="17" spans="2:41" ht="12.5" x14ac:dyDescent="0.25">
      <c r="B17" s="7" t="s">
        <v>519</v>
      </c>
      <c r="C17" s="761" t="s">
        <v>520</v>
      </c>
      <c r="D17" s="3"/>
      <c r="E17" s="508"/>
      <c r="F17" s="128"/>
      <c r="G17" s="509"/>
      <c r="H17" s="523"/>
      <c r="I17" s="401"/>
      <c r="J17" s="520"/>
      <c r="K17" s="521"/>
      <c r="L17" s="522"/>
      <c r="M17" s="220"/>
      <c r="W17" s="502"/>
      <c r="X17" s="502"/>
      <c r="Y17" s="502"/>
      <c r="Z17" s="502"/>
      <c r="AA17" s="502"/>
      <c r="AB17" s="502"/>
      <c r="AC17" s="502"/>
      <c r="AD17" s="502"/>
      <c r="AE17" s="502"/>
      <c r="AF17" s="502"/>
      <c r="AG17" s="502"/>
      <c r="AH17" s="502"/>
      <c r="AI17" s="502"/>
      <c r="AJ17" s="502"/>
      <c r="AK17" s="502"/>
      <c r="AL17" s="502"/>
      <c r="AM17" s="502"/>
      <c r="AN17" s="502"/>
      <c r="AO17" s="502"/>
    </row>
    <row r="18" spans="2:41" ht="12.5" x14ac:dyDescent="0.25">
      <c r="B18" s="7"/>
      <c r="C18" s="761"/>
      <c r="D18" s="3"/>
      <c r="E18" s="508"/>
      <c r="F18" s="128"/>
      <c r="G18" s="509"/>
      <c r="H18" s="523"/>
      <c r="I18" s="401"/>
      <c r="J18" s="520"/>
      <c r="K18" s="521"/>
      <c r="L18" s="522"/>
      <c r="M18" s="220"/>
      <c r="W18" s="502"/>
      <c r="X18" s="502"/>
      <c r="Y18" s="502"/>
      <c r="Z18" s="502"/>
      <c r="AA18" s="502"/>
      <c r="AB18" s="502"/>
      <c r="AC18" s="502"/>
      <c r="AD18" s="502"/>
      <c r="AE18" s="502"/>
      <c r="AF18" s="502"/>
      <c r="AG18" s="502"/>
      <c r="AH18" s="502"/>
      <c r="AI18" s="502"/>
      <c r="AJ18" s="502"/>
      <c r="AK18" s="502"/>
      <c r="AL18" s="502"/>
      <c r="AM18" s="502"/>
      <c r="AN18" s="502"/>
      <c r="AO18" s="502"/>
    </row>
    <row r="19" spans="2:41" ht="12.5" x14ac:dyDescent="0.25">
      <c r="B19" s="7"/>
      <c r="C19" s="352"/>
      <c r="D19" s="3"/>
      <c r="E19" s="508"/>
      <c r="F19" s="128"/>
      <c r="G19" s="509"/>
      <c r="H19" s="523"/>
      <c r="I19" s="401"/>
      <c r="J19" s="520"/>
      <c r="K19" s="521"/>
      <c r="L19" s="522"/>
      <c r="M19" s="220"/>
      <c r="W19" s="502"/>
      <c r="X19" s="502"/>
      <c r="Y19" s="502"/>
      <c r="Z19" s="502"/>
      <c r="AA19" s="502"/>
      <c r="AB19" s="502"/>
      <c r="AC19" s="502"/>
      <c r="AD19" s="502"/>
      <c r="AE19" s="502"/>
      <c r="AF19" s="502"/>
      <c r="AG19" s="502"/>
      <c r="AH19" s="502"/>
      <c r="AI19" s="502"/>
      <c r="AJ19" s="502"/>
      <c r="AK19" s="502"/>
      <c r="AL19" s="502"/>
      <c r="AM19" s="502"/>
      <c r="AN19" s="502"/>
      <c r="AO19" s="502"/>
    </row>
    <row r="20" spans="2:41" ht="12.75" customHeight="1" x14ac:dyDescent="0.25">
      <c r="B20" s="7" t="s">
        <v>521</v>
      </c>
      <c r="C20" s="352" t="s">
        <v>522</v>
      </c>
      <c r="D20" s="3" t="s">
        <v>13</v>
      </c>
      <c r="E20" s="3" t="s">
        <v>30</v>
      </c>
      <c r="F20" s="128">
        <v>42799</v>
      </c>
      <c r="G20" s="171">
        <v>0</v>
      </c>
      <c r="H20" s="237">
        <f>IF(D20="","",F20*G20)</f>
        <v>0</v>
      </c>
      <c r="I20" s="524"/>
      <c r="J20" s="525"/>
      <c r="K20" s="526"/>
      <c r="L20" s="527"/>
      <c r="M20" s="220"/>
      <c r="P20" s="511"/>
      <c r="Q20" s="512"/>
      <c r="R20" s="511"/>
      <c r="S20" s="511"/>
      <c r="T20" s="528"/>
      <c r="U20" s="514"/>
      <c r="V20" s="312"/>
      <c r="W20" s="502"/>
      <c r="X20" s="502"/>
      <c r="Y20" s="502"/>
      <c r="Z20" s="502"/>
      <c r="AA20" s="502"/>
      <c r="AB20" s="502"/>
      <c r="AC20" s="502"/>
      <c r="AD20" s="502"/>
      <c r="AE20" s="502"/>
      <c r="AF20" s="502"/>
      <c r="AG20" s="502"/>
      <c r="AH20" s="502"/>
      <c r="AI20" s="502"/>
      <c r="AJ20" s="502"/>
      <c r="AK20" s="502"/>
      <c r="AL20" s="502"/>
      <c r="AM20" s="502"/>
      <c r="AN20" s="502"/>
      <c r="AO20" s="502"/>
    </row>
    <row r="21" spans="2:41" ht="14.5" x14ac:dyDescent="0.25">
      <c r="B21" s="7"/>
      <c r="C21" s="352"/>
      <c r="D21" s="3"/>
      <c r="E21" s="3"/>
      <c r="F21" s="128"/>
      <c r="G21" s="509"/>
      <c r="H21" s="509" t="str">
        <f t="shared" si="0"/>
        <v/>
      </c>
      <c r="I21" s="476"/>
      <c r="J21" s="525"/>
      <c r="K21" s="526"/>
      <c r="L21" s="527"/>
      <c r="M21" s="220"/>
      <c r="P21" s="502"/>
      <c r="Q21" s="502"/>
      <c r="R21" s="502"/>
      <c r="S21" s="502"/>
      <c r="T21" s="502"/>
      <c r="U21" s="502"/>
      <c r="V21" s="502"/>
      <c r="W21" s="502"/>
      <c r="X21" s="502"/>
      <c r="Y21" s="502"/>
      <c r="Z21" s="502"/>
      <c r="AA21" s="502"/>
      <c r="AB21" s="502"/>
      <c r="AC21" s="502"/>
      <c r="AD21" s="515" t="s">
        <v>33</v>
      </c>
      <c r="AE21" s="516" t="s">
        <v>31</v>
      </c>
      <c r="AF21" s="514"/>
      <c r="AG21" s="516" t="s">
        <v>32</v>
      </c>
      <c r="AH21" s="514"/>
      <c r="AI21" s="516" t="s">
        <v>78</v>
      </c>
      <c r="AJ21" s="516"/>
      <c r="AK21" s="516" t="s">
        <v>79</v>
      </c>
      <c r="AL21" s="502"/>
      <c r="AM21" s="502"/>
      <c r="AN21" s="502"/>
      <c r="AO21" s="502"/>
    </row>
    <row r="22" spans="2:41" ht="12.5" x14ac:dyDescent="0.25">
      <c r="B22" s="7"/>
      <c r="C22" s="352" t="s">
        <v>523</v>
      </c>
      <c r="D22" s="3" t="s">
        <v>13</v>
      </c>
      <c r="E22" s="3"/>
      <c r="F22" s="128">
        <v>1250</v>
      </c>
      <c r="G22" s="171">
        <v>0</v>
      </c>
      <c r="H22" s="237">
        <f>IF(D22="","",F22*G22)</f>
        <v>0</v>
      </c>
      <c r="I22" s="524"/>
      <c r="J22" s="525"/>
      <c r="K22" s="526"/>
      <c r="L22" s="527"/>
      <c r="M22" s="220"/>
      <c r="P22" s="502"/>
      <c r="Q22" s="312"/>
      <c r="R22" s="312"/>
      <c r="S22" s="529"/>
      <c r="T22" s="511"/>
      <c r="U22" s="312"/>
      <c r="V22" s="511"/>
      <c r="W22" s="502"/>
      <c r="X22" s="502"/>
      <c r="Y22" s="502"/>
      <c r="Z22" s="502"/>
      <c r="AA22" s="502"/>
      <c r="AB22" s="502"/>
      <c r="AC22" s="502"/>
      <c r="AD22" s="530"/>
      <c r="AE22" s="530"/>
      <c r="AF22" s="530"/>
      <c r="AG22" s="530"/>
      <c r="AH22" s="530"/>
      <c r="AI22" s="530"/>
      <c r="AJ22" s="530"/>
      <c r="AK22" s="530"/>
      <c r="AL22" s="530"/>
      <c r="AM22" s="502"/>
      <c r="AN22" s="502"/>
      <c r="AO22" s="502"/>
    </row>
    <row r="23" spans="2:41" ht="12.5" x14ac:dyDescent="0.25">
      <c r="B23" s="504"/>
      <c r="C23" s="352"/>
      <c r="D23" s="3"/>
      <c r="E23" s="3"/>
      <c r="F23" s="128"/>
      <c r="G23" s="509"/>
      <c r="H23" s="510"/>
      <c r="I23" s="524"/>
      <c r="J23" s="525"/>
      <c r="K23" s="526"/>
      <c r="L23" s="527"/>
      <c r="M23" s="220"/>
      <c r="P23" s="502"/>
      <c r="Q23" s="312"/>
      <c r="R23" s="312"/>
      <c r="S23" s="529"/>
      <c r="T23" s="511"/>
      <c r="U23" s="312"/>
      <c r="V23" s="511"/>
      <c r="W23" s="502"/>
      <c r="X23" s="502"/>
      <c r="Y23" s="502"/>
      <c r="Z23" s="502"/>
      <c r="AA23" s="502"/>
      <c r="AB23" s="502"/>
      <c r="AC23" s="502"/>
      <c r="AD23" s="530"/>
      <c r="AE23" s="530"/>
      <c r="AF23" s="530"/>
      <c r="AG23" s="530"/>
      <c r="AH23" s="530"/>
      <c r="AI23" s="530"/>
      <c r="AJ23" s="530"/>
      <c r="AK23" s="530"/>
      <c r="AL23" s="530"/>
      <c r="AM23" s="502"/>
      <c r="AN23" s="502"/>
      <c r="AO23" s="502"/>
    </row>
    <row r="24" spans="2:41" ht="12.5" x14ac:dyDescent="0.25">
      <c r="B24" s="504"/>
      <c r="C24" s="352" t="s">
        <v>421</v>
      </c>
      <c r="D24" s="3" t="s">
        <v>13</v>
      </c>
      <c r="E24" s="3"/>
      <c r="F24" s="128">
        <v>1250</v>
      </c>
      <c r="G24" s="171">
        <v>0</v>
      </c>
      <c r="H24" s="237">
        <f>IF(D24="","",F24*G24)</f>
        <v>0</v>
      </c>
      <c r="I24" s="531"/>
      <c r="J24" s="525"/>
      <c r="K24" s="526"/>
      <c r="L24" s="527"/>
      <c r="M24" s="220"/>
      <c r="P24" s="502"/>
      <c r="Q24" s="312"/>
      <c r="R24" s="312"/>
      <c r="S24" s="529"/>
      <c r="T24" s="511"/>
      <c r="U24" s="312"/>
      <c r="V24" s="511"/>
      <c r="W24" s="502"/>
      <c r="X24" s="502"/>
      <c r="Y24" s="502"/>
      <c r="Z24" s="502"/>
      <c r="AA24" s="502"/>
      <c r="AB24" s="502"/>
      <c r="AC24" s="502"/>
      <c r="AD24" s="530"/>
      <c r="AE24" s="530"/>
      <c r="AF24" s="530"/>
      <c r="AG24" s="530"/>
      <c r="AH24" s="530"/>
      <c r="AI24" s="530"/>
      <c r="AJ24" s="530"/>
      <c r="AK24" s="530"/>
      <c r="AL24" s="530"/>
      <c r="AM24" s="502"/>
      <c r="AN24" s="502"/>
      <c r="AO24" s="502"/>
    </row>
    <row r="25" spans="2:41" ht="12.5" x14ac:dyDescent="0.25">
      <c r="B25" s="504"/>
      <c r="C25" s="352"/>
      <c r="D25" s="3"/>
      <c r="E25" s="3"/>
      <c r="F25" s="128"/>
      <c r="G25" s="509"/>
      <c r="H25" s="523"/>
      <c r="I25" s="532"/>
      <c r="J25" s="520"/>
      <c r="K25" s="521"/>
      <c r="L25" s="522"/>
      <c r="M25" s="220"/>
      <c r="P25" s="502"/>
      <c r="Q25" s="312"/>
      <c r="R25" s="312"/>
      <c r="S25" s="529"/>
      <c r="T25" s="511"/>
      <c r="U25" s="312"/>
      <c r="V25" s="511"/>
      <c r="W25" s="502"/>
      <c r="X25" s="502"/>
      <c r="Y25" s="502"/>
      <c r="Z25" s="502"/>
      <c r="AA25" s="502"/>
      <c r="AB25" s="502"/>
      <c r="AC25" s="502"/>
      <c r="AD25" s="530"/>
      <c r="AE25" s="530"/>
      <c r="AF25" s="530"/>
      <c r="AG25" s="530"/>
      <c r="AH25" s="530"/>
      <c r="AI25" s="530"/>
      <c r="AJ25" s="530"/>
      <c r="AK25" s="530"/>
      <c r="AL25" s="530"/>
      <c r="AM25" s="502"/>
      <c r="AN25" s="502"/>
      <c r="AO25" s="502"/>
    </row>
    <row r="26" spans="2:41" ht="12.5" x14ac:dyDescent="0.25">
      <c r="B26" s="504"/>
      <c r="C26" s="430"/>
      <c r="D26" s="3"/>
      <c r="E26" s="3"/>
      <c r="F26" s="128"/>
      <c r="G26" s="509"/>
      <c r="H26" s="523" t="str">
        <f t="shared" si="0"/>
        <v/>
      </c>
      <c r="I26" s="401"/>
      <c r="J26" s="520"/>
      <c r="K26" s="521"/>
      <c r="L26" s="522"/>
      <c r="M26" s="220"/>
      <c r="P26" s="502"/>
      <c r="Q26" s="312"/>
      <c r="R26" s="511"/>
      <c r="S26" s="511"/>
      <c r="T26" s="511"/>
      <c r="U26" s="511"/>
      <c r="V26" s="511"/>
      <c r="W26" s="502"/>
      <c r="X26" s="502"/>
      <c r="Y26" s="502"/>
      <c r="Z26" s="502"/>
      <c r="AA26" s="502"/>
      <c r="AB26" s="502"/>
      <c r="AC26" s="502"/>
      <c r="AD26" s="533"/>
      <c r="AE26" s="533"/>
      <c r="AF26" s="533" t="s">
        <v>80</v>
      </c>
      <c r="AG26" s="533" t="s">
        <v>81</v>
      </c>
      <c r="AH26" s="533" t="s">
        <v>82</v>
      </c>
      <c r="AI26" s="533"/>
      <c r="AJ26" s="533"/>
      <c r="AK26" s="533"/>
      <c r="AL26" s="530"/>
      <c r="AM26" s="502"/>
      <c r="AN26" s="502"/>
      <c r="AO26" s="502"/>
    </row>
    <row r="27" spans="2:41" ht="12.5" x14ac:dyDescent="0.25">
      <c r="B27" s="7" t="s">
        <v>423</v>
      </c>
      <c r="C27" s="352" t="s">
        <v>422</v>
      </c>
      <c r="D27" s="3"/>
      <c r="E27" s="3"/>
      <c r="F27" s="128"/>
      <c r="G27" s="509"/>
      <c r="H27" s="523"/>
      <c r="I27" s="401"/>
      <c r="J27" s="520"/>
      <c r="K27" s="521"/>
      <c r="L27" s="522"/>
      <c r="M27" s="220"/>
      <c r="P27" s="502"/>
      <c r="Q27" s="312"/>
      <c r="R27" s="511"/>
      <c r="S27" s="511"/>
      <c r="T27" s="511"/>
      <c r="U27" s="511"/>
      <c r="V27" s="511"/>
      <c r="W27" s="502"/>
      <c r="X27" s="502"/>
      <c r="Y27" s="502"/>
      <c r="Z27" s="502"/>
      <c r="AA27" s="502"/>
      <c r="AB27" s="502"/>
      <c r="AC27" s="502"/>
      <c r="AD27" s="534" t="e">
        <f>#REF!</f>
        <v>#REF!</v>
      </c>
      <c r="AE27" s="535"/>
      <c r="AF27" s="535">
        <v>2.2000000000000002</v>
      </c>
      <c r="AG27" s="535">
        <v>2</v>
      </c>
      <c r="AH27" s="536">
        <v>2</v>
      </c>
      <c r="AI27" s="535"/>
      <c r="AJ27" s="537" t="e">
        <f>AF27*#REF!*#REF!</f>
        <v>#REF!</v>
      </c>
      <c r="AK27" s="2" t="s">
        <v>16</v>
      </c>
      <c r="AL27" s="530"/>
      <c r="AM27" s="502"/>
      <c r="AN27" s="502"/>
      <c r="AO27" s="502"/>
    </row>
    <row r="28" spans="2:41" ht="12.5" x14ac:dyDescent="0.25">
      <c r="B28" s="7"/>
      <c r="C28" s="352"/>
      <c r="D28" s="3"/>
      <c r="E28" s="3"/>
      <c r="F28" s="128"/>
      <c r="G28" s="509"/>
      <c r="H28" s="523"/>
      <c r="I28" s="401"/>
      <c r="J28" s="520"/>
      <c r="K28" s="521"/>
      <c r="L28" s="522"/>
      <c r="M28" s="220"/>
      <c r="P28" s="502"/>
      <c r="Q28" s="312"/>
      <c r="R28" s="511"/>
      <c r="S28" s="511"/>
      <c r="T28" s="511"/>
      <c r="U28" s="511"/>
      <c r="V28" s="511"/>
      <c r="W28" s="502"/>
      <c r="X28" s="502"/>
      <c r="Y28" s="502"/>
      <c r="Z28" s="502"/>
      <c r="AA28" s="502"/>
      <c r="AB28" s="502"/>
      <c r="AC28" s="502"/>
      <c r="AD28" s="534"/>
      <c r="AE28" s="535"/>
      <c r="AF28" s="535"/>
      <c r="AG28" s="535"/>
      <c r="AH28" s="536"/>
      <c r="AI28" s="535"/>
      <c r="AJ28" s="537"/>
      <c r="AK28" s="349"/>
      <c r="AL28" s="530"/>
      <c r="AM28" s="502"/>
      <c r="AN28" s="502"/>
      <c r="AO28" s="502"/>
    </row>
    <row r="29" spans="2:41" ht="15.75" customHeight="1" x14ac:dyDescent="0.25">
      <c r="B29" s="7" t="s">
        <v>424</v>
      </c>
      <c r="C29" s="352" t="s">
        <v>414</v>
      </c>
      <c r="D29" s="3"/>
      <c r="E29" s="3"/>
      <c r="F29" s="128"/>
      <c r="G29" s="509"/>
      <c r="H29" s="523"/>
      <c r="I29" s="401"/>
      <c r="J29" s="520"/>
      <c r="K29" s="521"/>
      <c r="L29" s="522"/>
      <c r="M29" s="220"/>
      <c r="P29" s="502"/>
      <c r="Q29" s="312"/>
      <c r="R29" s="511"/>
      <c r="S29" s="511"/>
      <c r="T29" s="511"/>
      <c r="U29" s="511"/>
      <c r="V29" s="511"/>
      <c r="W29" s="502"/>
      <c r="X29" s="502"/>
      <c r="Y29" s="502"/>
      <c r="Z29" s="502"/>
      <c r="AA29" s="502"/>
      <c r="AB29" s="502"/>
      <c r="AC29" s="502"/>
      <c r="AD29" s="534"/>
      <c r="AE29" s="535"/>
      <c r="AF29" s="535"/>
      <c r="AG29" s="535"/>
      <c r="AH29" s="536"/>
      <c r="AI29" s="535"/>
      <c r="AJ29" s="537"/>
      <c r="AK29" s="349"/>
      <c r="AL29" s="530"/>
      <c r="AM29" s="502"/>
      <c r="AN29" s="502"/>
      <c r="AO29" s="502"/>
    </row>
    <row r="30" spans="2:41" ht="12.5" x14ac:dyDescent="0.25">
      <c r="B30" s="7"/>
      <c r="C30" s="352"/>
      <c r="D30" s="3"/>
      <c r="E30" s="3"/>
      <c r="F30" s="128"/>
      <c r="G30" s="509"/>
      <c r="H30" s="523"/>
      <c r="I30" s="401"/>
      <c r="J30" s="520"/>
      <c r="K30" s="521"/>
      <c r="L30" s="522"/>
      <c r="M30" s="220"/>
      <c r="P30" s="502"/>
      <c r="Q30" s="312"/>
      <c r="R30" s="511"/>
      <c r="S30" s="511"/>
      <c r="T30" s="511"/>
      <c r="U30" s="511"/>
      <c r="V30" s="511"/>
      <c r="W30" s="502"/>
      <c r="X30" s="502"/>
      <c r="Y30" s="502"/>
      <c r="Z30" s="502"/>
      <c r="AA30" s="502"/>
      <c r="AB30" s="502"/>
      <c r="AC30" s="502"/>
      <c r="AD30" s="534"/>
      <c r="AE30" s="535"/>
      <c r="AF30" s="535"/>
      <c r="AG30" s="535"/>
      <c r="AH30" s="536"/>
      <c r="AI30" s="535"/>
      <c r="AJ30" s="537"/>
      <c r="AK30" s="349"/>
      <c r="AL30" s="530"/>
      <c r="AM30" s="502"/>
      <c r="AN30" s="502"/>
      <c r="AO30" s="502"/>
    </row>
    <row r="31" spans="2:41" ht="12.5" x14ac:dyDescent="0.25">
      <c r="B31" s="7"/>
      <c r="C31" s="352" t="s">
        <v>524</v>
      </c>
      <c r="D31" s="3" t="s">
        <v>13</v>
      </c>
      <c r="E31" s="3" t="s">
        <v>30</v>
      </c>
      <c r="F31" s="128">
        <v>600</v>
      </c>
      <c r="G31" s="171">
        <v>0</v>
      </c>
      <c r="H31" s="237">
        <f>IF(D31="","",F31*G31)</f>
        <v>0</v>
      </c>
      <c r="I31" s="532"/>
      <c r="J31" s="520"/>
      <c r="K31" s="521"/>
      <c r="L31" s="522"/>
      <c r="M31" s="220"/>
      <c r="P31" s="502"/>
      <c r="Q31" s="312"/>
      <c r="R31" s="511"/>
      <c r="S31" s="511"/>
      <c r="T31" s="511"/>
      <c r="U31" s="511"/>
      <c r="V31" s="511"/>
      <c r="W31" s="502"/>
      <c r="X31" s="502"/>
      <c r="Y31" s="502"/>
      <c r="Z31" s="502"/>
      <c r="AA31" s="502"/>
      <c r="AB31" s="502"/>
      <c r="AC31" s="502"/>
      <c r="AD31" s="530"/>
      <c r="AE31" s="530"/>
      <c r="AF31" s="530"/>
      <c r="AG31" s="530"/>
      <c r="AH31" s="530"/>
      <c r="AI31" s="530"/>
      <c r="AJ31" s="538" t="e">
        <f>#REF!*AH27/100</f>
        <v>#REF!</v>
      </c>
      <c r="AK31" s="530" t="s">
        <v>83</v>
      </c>
      <c r="AL31" s="530"/>
      <c r="AM31" s="502"/>
      <c r="AN31" s="502"/>
      <c r="AO31" s="502"/>
    </row>
    <row r="32" spans="2:41" ht="12.5" x14ac:dyDescent="0.25">
      <c r="B32" s="539"/>
      <c r="C32" s="352"/>
      <c r="D32" s="129"/>
      <c r="E32" s="129"/>
      <c r="F32" s="128"/>
      <c r="G32" s="540"/>
      <c r="H32" s="523" t="str">
        <f t="shared" si="0"/>
        <v/>
      </c>
      <c r="I32" s="401"/>
      <c r="J32" s="520"/>
      <c r="K32" s="521"/>
      <c r="L32" s="522"/>
      <c r="M32" s="220"/>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row>
    <row r="33" spans="1:41" ht="12.5" x14ac:dyDescent="0.25">
      <c r="B33" s="504"/>
      <c r="C33" s="352" t="s">
        <v>526</v>
      </c>
      <c r="D33" s="3" t="s">
        <v>13</v>
      </c>
      <c r="E33" s="3" t="s">
        <v>30</v>
      </c>
      <c r="F33" s="128">
        <v>600</v>
      </c>
      <c r="G33" s="171">
        <v>0</v>
      </c>
      <c r="H33" s="237">
        <f>IF(D33="","",F33*G33)</f>
        <v>0</v>
      </c>
      <c r="I33" s="532"/>
      <c r="J33" s="520"/>
      <c r="K33" s="521"/>
      <c r="L33" s="522"/>
      <c r="M33" s="220"/>
      <c r="P33" s="502"/>
      <c r="Q33" s="313"/>
      <c r="R33" s="514"/>
      <c r="S33" s="514"/>
      <c r="T33" s="514"/>
      <c r="U33" s="514"/>
      <c r="V33" s="514"/>
      <c r="W33" s="502"/>
      <c r="X33" s="502"/>
      <c r="Y33" s="502"/>
      <c r="Z33" s="502"/>
      <c r="AA33" s="502"/>
      <c r="AB33" s="502"/>
      <c r="AC33" s="502"/>
      <c r="AD33" s="502"/>
      <c r="AE33" s="502"/>
      <c r="AF33" s="502"/>
      <c r="AG33" s="502"/>
      <c r="AH33" s="502"/>
      <c r="AI33" s="502"/>
      <c r="AJ33" s="502"/>
      <c r="AK33" s="502"/>
      <c r="AL33" s="502"/>
      <c r="AM33" s="502"/>
      <c r="AN33" s="502"/>
      <c r="AO33" s="502"/>
    </row>
    <row r="34" spans="1:41" ht="12.5" x14ac:dyDescent="0.25">
      <c r="B34" s="7"/>
      <c r="C34" s="352"/>
      <c r="D34" s="3"/>
      <c r="E34" s="3"/>
      <c r="F34" s="128"/>
      <c r="G34" s="509"/>
      <c r="H34" s="523" t="str">
        <f t="shared" si="0"/>
        <v/>
      </c>
      <c r="I34" s="401"/>
      <c r="J34" s="520"/>
      <c r="K34" s="521"/>
      <c r="L34" s="522"/>
      <c r="M34" s="220"/>
      <c r="S34" s="23"/>
      <c r="T34" s="23"/>
      <c r="U34" s="23"/>
      <c r="V34" s="23"/>
      <c r="W34" s="502"/>
      <c r="X34" s="502"/>
      <c r="Y34" s="502"/>
      <c r="Z34" s="502"/>
      <c r="AA34" s="502"/>
      <c r="AB34" s="502"/>
      <c r="AC34" s="502"/>
      <c r="AD34" s="502"/>
      <c r="AE34" s="502"/>
      <c r="AF34" s="502"/>
      <c r="AG34" s="502"/>
      <c r="AH34" s="502"/>
      <c r="AI34" s="502"/>
      <c r="AJ34" s="502"/>
      <c r="AK34" s="502"/>
      <c r="AL34" s="502"/>
      <c r="AM34" s="502"/>
      <c r="AN34" s="502"/>
      <c r="AO34" s="502"/>
    </row>
    <row r="35" spans="1:41" ht="12.5" x14ac:dyDescent="0.25">
      <c r="B35" s="7"/>
      <c r="C35" s="352"/>
      <c r="D35" s="3"/>
      <c r="E35" s="3"/>
      <c r="F35" s="128"/>
      <c r="G35" s="509"/>
      <c r="H35" s="523"/>
      <c r="I35" s="401"/>
      <c r="J35" s="520"/>
      <c r="K35" s="521"/>
      <c r="L35" s="522"/>
      <c r="M35" s="220"/>
      <c r="S35" s="23"/>
      <c r="T35" s="23"/>
      <c r="U35" s="23"/>
      <c r="V35" s="23"/>
      <c r="W35" s="502"/>
      <c r="X35" s="502"/>
      <c r="Y35" s="502"/>
      <c r="Z35" s="502"/>
      <c r="AA35" s="502"/>
      <c r="AB35" s="502"/>
      <c r="AC35" s="502"/>
      <c r="AD35" s="502"/>
      <c r="AE35" s="502"/>
      <c r="AF35" s="502"/>
      <c r="AG35" s="502"/>
      <c r="AH35" s="502"/>
      <c r="AI35" s="502"/>
      <c r="AJ35" s="502"/>
      <c r="AK35" s="502"/>
      <c r="AL35" s="502"/>
      <c r="AM35" s="502"/>
      <c r="AN35" s="502"/>
      <c r="AO35" s="502"/>
    </row>
    <row r="36" spans="1:41" ht="12.5" x14ac:dyDescent="0.25">
      <c r="B36" s="7" t="s">
        <v>425</v>
      </c>
      <c r="C36" s="352" t="s">
        <v>426</v>
      </c>
      <c r="D36" s="3"/>
      <c r="E36" s="3"/>
      <c r="F36" s="128"/>
      <c r="G36" s="509"/>
      <c r="H36" s="523" t="str">
        <f t="shared" si="0"/>
        <v/>
      </c>
      <c r="I36" s="401"/>
      <c r="J36" s="520"/>
      <c r="K36" s="521"/>
      <c r="L36" s="522"/>
      <c r="M36" s="220"/>
      <c r="S36" s="23"/>
      <c r="T36" s="23"/>
      <c r="U36" s="23"/>
      <c r="V36" s="23"/>
      <c r="W36" s="502"/>
      <c r="X36" s="502"/>
      <c r="Y36" s="502"/>
      <c r="Z36" s="502"/>
      <c r="AA36" s="502"/>
      <c r="AB36" s="502"/>
      <c r="AC36" s="502"/>
      <c r="AD36" s="502"/>
      <c r="AE36" s="502"/>
      <c r="AF36" s="502"/>
      <c r="AG36" s="502"/>
      <c r="AH36" s="502"/>
      <c r="AI36" s="502"/>
      <c r="AJ36" s="502"/>
      <c r="AK36" s="502"/>
      <c r="AL36" s="502"/>
      <c r="AM36" s="502"/>
      <c r="AN36" s="502"/>
      <c r="AO36" s="502"/>
    </row>
    <row r="37" spans="1:41" ht="12.5" x14ac:dyDescent="0.25">
      <c r="B37" s="7"/>
      <c r="C37" s="352"/>
      <c r="D37" s="3"/>
      <c r="E37" s="3"/>
      <c r="F37" s="128"/>
      <c r="G37" s="509"/>
      <c r="H37" s="523" t="str">
        <f t="shared" si="0"/>
        <v/>
      </c>
      <c r="I37" s="401"/>
      <c r="J37" s="520"/>
      <c r="K37" s="521"/>
      <c r="L37" s="522"/>
      <c r="M37" s="220"/>
      <c r="S37" s="23"/>
      <c r="T37" s="23"/>
      <c r="U37" s="23"/>
      <c r="V37" s="23"/>
      <c r="W37" s="502"/>
      <c r="X37" s="502"/>
      <c r="Y37" s="502"/>
      <c r="Z37" s="502"/>
      <c r="AA37" s="502"/>
      <c r="AB37" s="502"/>
      <c r="AC37" s="502"/>
      <c r="AD37" s="502"/>
      <c r="AE37" s="502"/>
      <c r="AF37" s="502"/>
      <c r="AG37" s="502"/>
      <c r="AH37" s="502"/>
      <c r="AI37" s="502"/>
      <c r="AJ37" s="502"/>
      <c r="AK37" s="502"/>
      <c r="AL37" s="502"/>
      <c r="AM37" s="502"/>
      <c r="AN37" s="502"/>
      <c r="AO37" s="502"/>
    </row>
    <row r="38" spans="1:41" ht="15" customHeight="1" x14ac:dyDescent="0.25">
      <c r="B38" s="7" t="s">
        <v>427</v>
      </c>
      <c r="C38" s="352" t="s">
        <v>525</v>
      </c>
      <c r="D38" s="3" t="s">
        <v>13</v>
      </c>
      <c r="E38" s="3" t="s">
        <v>30</v>
      </c>
      <c r="F38" s="128">
        <v>19260</v>
      </c>
      <c r="G38" s="171">
        <v>0</v>
      </c>
      <c r="H38" s="237">
        <f>IF(D38="","",F38*G38)</f>
        <v>0</v>
      </c>
      <c r="I38" s="532"/>
      <c r="J38" s="520"/>
      <c r="K38" s="521"/>
      <c r="L38" s="522"/>
      <c r="M38" s="220"/>
      <c r="N38" s="511"/>
      <c r="O38" s="511"/>
      <c r="P38" s="511"/>
      <c r="Q38" s="511"/>
      <c r="R38" s="511"/>
      <c r="S38" s="511"/>
      <c r="T38" s="511"/>
      <c r="U38" s="541"/>
      <c r="V38" s="502"/>
      <c r="W38" s="502"/>
      <c r="X38" s="502"/>
      <c r="Y38" s="502"/>
      <c r="Z38" s="502"/>
      <c r="AA38" s="502"/>
      <c r="AB38" s="502"/>
      <c r="AC38" s="502"/>
      <c r="AD38" s="502"/>
      <c r="AE38" s="502"/>
      <c r="AF38" s="502"/>
      <c r="AG38" s="502"/>
      <c r="AH38" s="502"/>
      <c r="AI38" s="502"/>
      <c r="AJ38" s="502"/>
      <c r="AK38" s="502"/>
      <c r="AL38" s="502"/>
      <c r="AM38" s="502"/>
      <c r="AN38" s="502"/>
      <c r="AO38" s="502"/>
    </row>
    <row r="39" spans="1:41" ht="12.5" x14ac:dyDescent="0.25">
      <c r="B39" s="7"/>
      <c r="C39" s="352"/>
      <c r="D39" s="3"/>
      <c r="E39" s="3"/>
      <c r="F39" s="128"/>
      <c r="G39" s="509"/>
      <c r="H39" s="523" t="str">
        <f>IF(D39="","",F39*G39)</f>
        <v/>
      </c>
      <c r="I39" s="401"/>
      <c r="J39" s="520"/>
      <c r="K39" s="521"/>
      <c r="L39" s="522"/>
      <c r="M39" s="220"/>
      <c r="N39" s="511"/>
      <c r="O39" s="511"/>
      <c r="P39" s="511"/>
      <c r="Q39" s="511"/>
      <c r="R39" s="511"/>
      <c r="S39" s="511"/>
      <c r="T39" s="511"/>
      <c r="U39" s="541"/>
      <c r="V39" s="502"/>
      <c r="W39" s="502"/>
      <c r="X39" s="502"/>
      <c r="Y39" s="502"/>
      <c r="Z39" s="502"/>
      <c r="AA39" s="502"/>
      <c r="AB39" s="502"/>
      <c r="AC39" s="502"/>
      <c r="AD39" s="502"/>
      <c r="AE39" s="502"/>
      <c r="AF39" s="502"/>
      <c r="AG39" s="502"/>
      <c r="AH39" s="502"/>
      <c r="AI39" s="502"/>
      <c r="AJ39" s="502"/>
      <c r="AK39" s="502"/>
      <c r="AL39" s="502"/>
      <c r="AM39" s="502"/>
      <c r="AN39" s="502"/>
      <c r="AO39" s="502"/>
    </row>
    <row r="40" spans="1:41" ht="12.5" x14ac:dyDescent="0.25">
      <c r="B40" s="7"/>
      <c r="C40" s="352" t="s">
        <v>576</v>
      </c>
      <c r="D40" s="3" t="s">
        <v>13</v>
      </c>
      <c r="E40" s="3" t="s">
        <v>30</v>
      </c>
      <c r="F40" s="128">
        <v>600</v>
      </c>
      <c r="G40" s="171">
        <v>0</v>
      </c>
      <c r="H40" s="237">
        <f>IF(D40="","",F40*G40)</f>
        <v>0</v>
      </c>
      <c r="I40" s="532"/>
      <c r="J40" s="520"/>
      <c r="K40" s="521"/>
      <c r="L40" s="522"/>
      <c r="M40" s="220"/>
      <c r="N40" s="541"/>
      <c r="O40" s="541"/>
      <c r="P40" s="541"/>
      <c r="Q40" s="541"/>
      <c r="R40" s="541"/>
      <c r="S40" s="541"/>
      <c r="T40" s="541"/>
      <c r="U40" s="541"/>
      <c r="V40" s="502"/>
      <c r="W40" s="502"/>
      <c r="X40" s="502"/>
      <c r="Y40" s="502"/>
      <c r="Z40" s="502"/>
      <c r="AA40" s="502"/>
      <c r="AB40" s="502"/>
      <c r="AC40" s="502"/>
      <c r="AD40" s="502"/>
      <c r="AE40" s="502"/>
      <c r="AF40" s="502"/>
      <c r="AG40" s="502"/>
      <c r="AH40" s="502"/>
      <c r="AI40" s="502"/>
      <c r="AJ40" s="502"/>
      <c r="AK40" s="502"/>
      <c r="AL40" s="502"/>
      <c r="AM40" s="502"/>
      <c r="AN40" s="502"/>
      <c r="AO40" s="502"/>
    </row>
    <row r="41" spans="1:41" ht="12.5" x14ac:dyDescent="0.25">
      <c r="B41" s="7"/>
      <c r="C41" s="352"/>
      <c r="D41" s="3"/>
      <c r="E41" s="3"/>
      <c r="F41" s="128"/>
      <c r="G41" s="509"/>
      <c r="H41" s="523" t="str">
        <f t="shared" si="0"/>
        <v/>
      </c>
      <c r="I41" s="401"/>
      <c r="J41" s="520"/>
      <c r="K41" s="521"/>
      <c r="L41" s="522"/>
      <c r="M41" s="220"/>
      <c r="N41" s="541"/>
      <c r="O41" s="542"/>
      <c r="P41" s="541"/>
      <c r="Q41" s="541"/>
      <c r="R41" s="541"/>
      <c r="S41" s="541"/>
      <c r="T41" s="541"/>
      <c r="U41" s="541"/>
      <c r="V41" s="502"/>
      <c r="W41" s="502"/>
      <c r="X41" s="502"/>
      <c r="Y41" s="502"/>
      <c r="Z41" s="502"/>
      <c r="AA41" s="502"/>
      <c r="AB41" s="502"/>
      <c r="AC41" s="502"/>
      <c r="AD41" s="502"/>
      <c r="AE41" s="502"/>
      <c r="AF41" s="502"/>
      <c r="AG41" s="502"/>
      <c r="AH41" s="502"/>
      <c r="AI41" s="502"/>
      <c r="AJ41" s="502"/>
      <c r="AK41" s="502"/>
      <c r="AL41" s="502"/>
      <c r="AM41" s="502"/>
      <c r="AN41" s="502"/>
      <c r="AO41" s="502"/>
    </row>
    <row r="42" spans="1:41" ht="12.5" x14ac:dyDescent="0.25">
      <c r="B42" s="7"/>
      <c r="C42" s="352"/>
      <c r="D42" s="3"/>
      <c r="E42" s="3"/>
      <c r="F42" s="128"/>
      <c r="G42" s="509"/>
      <c r="H42" s="523"/>
      <c r="I42" s="401"/>
      <c r="J42" s="520"/>
      <c r="K42" s="521"/>
      <c r="L42" s="522"/>
      <c r="M42" s="220"/>
      <c r="N42" s="541"/>
      <c r="O42" s="542"/>
      <c r="P42" s="541"/>
      <c r="Q42" s="541"/>
      <c r="R42" s="541"/>
      <c r="S42" s="541"/>
      <c r="T42" s="541"/>
      <c r="U42" s="541"/>
      <c r="V42" s="502"/>
      <c r="W42" s="502"/>
      <c r="X42" s="502"/>
      <c r="Y42" s="502"/>
      <c r="Z42" s="502"/>
      <c r="AA42" s="502"/>
      <c r="AB42" s="502"/>
      <c r="AC42" s="502"/>
      <c r="AD42" s="502"/>
      <c r="AE42" s="502"/>
      <c r="AF42" s="502"/>
      <c r="AG42" s="502"/>
      <c r="AH42" s="502"/>
      <c r="AI42" s="502"/>
      <c r="AJ42" s="502"/>
      <c r="AK42" s="502"/>
      <c r="AL42" s="502"/>
      <c r="AM42" s="502"/>
      <c r="AN42" s="502"/>
      <c r="AO42" s="502"/>
    </row>
    <row r="43" spans="1:41" ht="12.5" x14ac:dyDescent="0.25">
      <c r="B43" s="7" t="s">
        <v>428</v>
      </c>
      <c r="C43" s="352" t="s">
        <v>429</v>
      </c>
      <c r="D43" s="3"/>
      <c r="E43" s="3"/>
      <c r="F43" s="128"/>
      <c r="G43" s="509"/>
      <c r="H43" s="523" t="str">
        <f t="shared" si="0"/>
        <v/>
      </c>
      <c r="I43" s="401"/>
      <c r="J43" s="520"/>
      <c r="K43" s="521"/>
      <c r="L43" s="522"/>
      <c r="M43" s="220"/>
      <c r="N43" s="541"/>
      <c r="O43" s="542"/>
      <c r="P43" s="541"/>
      <c r="Q43" s="541"/>
      <c r="R43" s="541"/>
      <c r="S43" s="541"/>
      <c r="T43" s="541"/>
      <c r="U43" s="541"/>
      <c r="V43" s="502"/>
      <c r="W43" s="502"/>
      <c r="X43" s="502"/>
      <c r="Y43" s="502"/>
      <c r="Z43" s="502"/>
      <c r="AA43" s="502"/>
      <c r="AB43" s="502"/>
      <c r="AC43" s="502"/>
      <c r="AD43" s="502"/>
      <c r="AE43" s="502"/>
      <c r="AF43" s="502"/>
      <c r="AG43" s="502"/>
      <c r="AH43" s="502"/>
      <c r="AI43" s="502"/>
      <c r="AJ43" s="502"/>
      <c r="AK43" s="502"/>
      <c r="AL43" s="502"/>
      <c r="AM43" s="502"/>
      <c r="AN43" s="502"/>
      <c r="AO43" s="502"/>
    </row>
    <row r="44" spans="1:41" ht="12.5" x14ac:dyDescent="0.25">
      <c r="B44" s="7"/>
      <c r="C44" s="352"/>
      <c r="D44" s="3"/>
      <c r="E44" s="3"/>
      <c r="F44" s="128"/>
      <c r="G44" s="509"/>
      <c r="H44" s="523" t="str">
        <f t="shared" si="0"/>
        <v/>
      </c>
      <c r="I44" s="401"/>
      <c r="J44" s="520"/>
      <c r="K44" s="521"/>
      <c r="L44" s="522"/>
      <c r="M44" s="220"/>
      <c r="N44" s="541"/>
      <c r="O44" s="541"/>
      <c r="P44" s="541"/>
      <c r="Q44" s="541"/>
      <c r="R44" s="541"/>
      <c r="S44" s="541"/>
      <c r="T44" s="541"/>
      <c r="U44" s="541"/>
      <c r="V44" s="502"/>
      <c r="W44" s="502"/>
      <c r="X44" s="502"/>
      <c r="Y44" s="502"/>
      <c r="Z44" s="502"/>
      <c r="AA44" s="502"/>
      <c r="AB44" s="502"/>
      <c r="AC44" s="502"/>
      <c r="AD44" s="502"/>
      <c r="AE44" s="502"/>
      <c r="AF44" s="502"/>
      <c r="AG44" s="502"/>
      <c r="AH44" s="502"/>
      <c r="AI44" s="502"/>
      <c r="AJ44" s="502"/>
      <c r="AK44" s="502"/>
      <c r="AL44" s="502"/>
      <c r="AM44" s="502"/>
      <c r="AN44" s="502"/>
      <c r="AO44" s="502"/>
    </row>
    <row r="45" spans="1:41" ht="15.75" customHeight="1" x14ac:dyDescent="0.25">
      <c r="B45" s="7" t="s">
        <v>430</v>
      </c>
      <c r="C45" s="352" t="s">
        <v>431</v>
      </c>
      <c r="D45" s="3" t="s">
        <v>515</v>
      </c>
      <c r="E45" s="3" t="s">
        <v>30</v>
      </c>
      <c r="F45" s="128">
        <v>12664</v>
      </c>
      <c r="G45" s="171">
        <v>0</v>
      </c>
      <c r="H45" s="237">
        <f>IF(D45="","",F45*G45)</f>
        <v>0</v>
      </c>
      <c r="I45" s="532"/>
      <c r="J45" s="520"/>
      <c r="K45" s="521"/>
      <c r="L45" s="522"/>
      <c r="M45" s="220"/>
      <c r="N45" s="541"/>
      <c r="O45" s="541"/>
      <c r="P45" s="541"/>
      <c r="Q45" s="541"/>
      <c r="R45" s="541"/>
      <c r="S45" s="541"/>
      <c r="T45" s="541"/>
      <c r="U45" s="541"/>
      <c r="V45" s="502"/>
      <c r="W45" s="502"/>
      <c r="X45" s="502"/>
      <c r="Y45" s="502"/>
      <c r="Z45" s="502"/>
      <c r="AA45" s="502"/>
      <c r="AB45" s="502"/>
      <c r="AC45" s="502"/>
      <c r="AD45" s="502"/>
      <c r="AE45" s="502"/>
      <c r="AF45" s="502"/>
      <c r="AG45" s="502"/>
      <c r="AH45" s="502"/>
      <c r="AI45" s="502"/>
      <c r="AJ45" s="502"/>
      <c r="AK45" s="502"/>
      <c r="AL45" s="502"/>
      <c r="AM45" s="502"/>
      <c r="AN45" s="502"/>
      <c r="AO45" s="502"/>
    </row>
    <row r="46" spans="1:41" ht="12.5" x14ac:dyDescent="0.25">
      <c r="B46" s="7"/>
      <c r="C46" s="352"/>
      <c r="D46" s="3"/>
      <c r="E46" s="3"/>
      <c r="F46" s="128"/>
      <c r="G46" s="509"/>
      <c r="H46" s="510"/>
      <c r="I46" s="531"/>
      <c r="J46" s="525"/>
      <c r="K46" s="526"/>
      <c r="L46" s="527"/>
      <c r="M46" s="543"/>
      <c r="N46" s="544"/>
      <c r="O46" s="544"/>
      <c r="P46" s="544"/>
      <c r="Q46" s="544"/>
      <c r="R46" s="544"/>
      <c r="S46" s="544"/>
      <c r="T46" s="544"/>
      <c r="U46" s="544"/>
      <c r="V46" s="545"/>
      <c r="W46" s="545"/>
      <c r="X46" s="545"/>
      <c r="Y46" s="545"/>
      <c r="Z46" s="545"/>
      <c r="AA46" s="545"/>
      <c r="AB46" s="545"/>
      <c r="AC46" s="545"/>
      <c r="AD46" s="545"/>
      <c r="AE46" s="545"/>
      <c r="AF46" s="545"/>
      <c r="AG46" s="545"/>
      <c r="AH46" s="545"/>
      <c r="AI46" s="545"/>
      <c r="AJ46" s="545"/>
      <c r="AK46" s="545"/>
      <c r="AL46" s="545"/>
      <c r="AM46" s="545"/>
      <c r="AN46" s="545"/>
      <c r="AO46" s="545"/>
    </row>
    <row r="47" spans="1:41" ht="15.75" customHeight="1" x14ac:dyDescent="0.25">
      <c r="B47" s="7" t="s">
        <v>527</v>
      </c>
      <c r="C47" s="352" t="s">
        <v>528</v>
      </c>
      <c r="D47" s="3" t="s">
        <v>515</v>
      </c>
      <c r="E47" s="3" t="s">
        <v>30</v>
      </c>
      <c r="F47" s="128">
        <v>12664</v>
      </c>
      <c r="G47" s="171">
        <v>0</v>
      </c>
      <c r="H47" s="237">
        <f>IF(D47="","",F47*G47)</f>
        <v>0</v>
      </c>
      <c r="I47" s="531"/>
      <c r="J47" s="525"/>
      <c r="K47" s="526"/>
      <c r="L47" s="527"/>
      <c r="M47" s="543"/>
      <c r="N47" s="544"/>
      <c r="O47" s="544"/>
      <c r="P47" s="544"/>
      <c r="Q47" s="544"/>
      <c r="R47" s="544"/>
      <c r="S47" s="544"/>
      <c r="T47" s="544"/>
      <c r="U47" s="544"/>
      <c r="V47" s="545"/>
      <c r="W47" s="545"/>
      <c r="X47" s="545"/>
      <c r="Y47" s="545"/>
      <c r="Z47" s="545"/>
      <c r="AA47" s="545"/>
      <c r="AB47" s="545"/>
      <c r="AC47" s="545"/>
      <c r="AD47" s="545"/>
      <c r="AE47" s="545"/>
      <c r="AF47" s="545"/>
      <c r="AG47" s="545"/>
      <c r="AH47" s="545"/>
      <c r="AI47" s="545"/>
      <c r="AJ47" s="545"/>
      <c r="AK47" s="545"/>
      <c r="AL47" s="545"/>
      <c r="AM47" s="545"/>
      <c r="AN47" s="545"/>
      <c r="AO47" s="545"/>
    </row>
    <row r="48" spans="1:41" s="25" customFormat="1" ht="12" customHeight="1" x14ac:dyDescent="0.25">
      <c r="A48" s="53"/>
      <c r="B48" s="7"/>
      <c r="C48" s="352"/>
      <c r="D48" s="3"/>
      <c r="E48" s="3"/>
      <c r="F48" s="128"/>
      <c r="G48" s="509"/>
      <c r="H48" s="509" t="str">
        <f t="shared" si="0"/>
        <v/>
      </c>
      <c r="I48" s="476"/>
      <c r="J48" s="217"/>
      <c r="K48" s="218"/>
      <c r="L48" s="219"/>
      <c r="M48" s="220"/>
      <c r="Q48" s="546"/>
      <c r="S48" s="53"/>
      <c r="T48" s="53"/>
      <c r="U48" s="53"/>
      <c r="V48" s="53"/>
      <c r="W48" s="53"/>
      <c r="X48" s="53"/>
      <c r="Y48" s="53"/>
    </row>
    <row r="49" spans="1:41" s="25" customFormat="1" ht="22.5" customHeight="1" x14ac:dyDescent="0.25">
      <c r="A49" s="53"/>
      <c r="B49" s="29" t="str">
        <f>B11</f>
        <v>C5.1</v>
      </c>
      <c r="C49" s="28" t="str">
        <f>"TOTAL CARRIED FORWARD"&amp;IF(H49=H$1," TO SUMMARY")</f>
        <v>TOTAL CARRIED FORWARD TO SUMMARY</v>
      </c>
      <c r="D49" s="469"/>
      <c r="E49" s="469"/>
      <c r="F49" s="470"/>
      <c r="G49" s="471"/>
      <c r="H49" s="253">
        <f>SUM(H10:H48)</f>
        <v>0</v>
      </c>
      <c r="I49" s="518"/>
      <c r="J49" s="254"/>
      <c r="K49" s="254"/>
      <c r="L49" s="255"/>
      <c r="M49" s="256"/>
      <c r="O49" s="519"/>
      <c r="Q49" s="546"/>
      <c r="S49" s="53"/>
      <c r="T49" s="53"/>
      <c r="U49" s="53"/>
      <c r="V49" s="53"/>
      <c r="W49" s="53"/>
      <c r="X49" s="53"/>
      <c r="Y49" s="53"/>
    </row>
    <row r="50" spans="1:41" ht="6" customHeight="1" x14ac:dyDescent="0.25">
      <c r="L50" s="71"/>
    </row>
    <row r="51" spans="1:41" s="23" customFormat="1" ht="12" customHeight="1" x14ac:dyDescent="0.25">
      <c r="A51" s="53"/>
      <c r="B51" s="376"/>
      <c r="C51" s="377"/>
      <c r="D51" s="378"/>
      <c r="E51" s="378"/>
      <c r="F51" s="378"/>
      <c r="G51" s="53"/>
      <c r="H51" s="53"/>
      <c r="I51" s="53"/>
      <c r="J51" s="57"/>
      <c r="K51" s="57"/>
      <c r="L51" s="71"/>
      <c r="N51" s="25"/>
      <c r="O51" s="25"/>
      <c r="P51" s="25"/>
      <c r="Q51" s="25"/>
      <c r="R51" s="25"/>
      <c r="S51" s="53"/>
      <c r="T51" s="53"/>
      <c r="U51" s="53"/>
      <c r="V51" s="53"/>
      <c r="W51" s="53"/>
      <c r="X51" s="53"/>
      <c r="Y51" s="53"/>
      <c r="Z51" s="53"/>
      <c r="AA51" s="53"/>
      <c r="AB51" s="53"/>
      <c r="AC51" s="53"/>
      <c r="AD51" s="53"/>
      <c r="AE51" s="53"/>
      <c r="AF51" s="53"/>
      <c r="AG51" s="53"/>
      <c r="AH51" s="53"/>
      <c r="AI51" s="53"/>
      <c r="AJ51" s="53"/>
      <c r="AK51" s="53"/>
      <c r="AL51" s="53"/>
      <c r="AM51" s="53"/>
      <c r="AN51" s="53"/>
      <c r="AO51" s="53"/>
    </row>
    <row r="52" spans="1:41" s="23" customFormat="1" ht="12" customHeight="1" x14ac:dyDescent="0.25">
      <c r="A52" s="53"/>
      <c r="B52" s="376"/>
      <c r="C52" s="377"/>
      <c r="D52" s="378"/>
      <c r="E52" s="378"/>
      <c r="F52" s="378"/>
      <c r="G52" s="53"/>
      <c r="H52" s="53"/>
      <c r="I52" s="53"/>
      <c r="J52" s="57"/>
      <c r="K52" s="57"/>
      <c r="L52" s="71"/>
      <c r="N52" s="25"/>
      <c r="O52" s="25"/>
      <c r="P52" s="25"/>
      <c r="Q52" s="25"/>
      <c r="R52" s="25"/>
      <c r="S52" s="53"/>
      <c r="T52" s="53"/>
      <c r="U52" s="53"/>
      <c r="V52" s="53"/>
      <c r="W52" s="53"/>
      <c r="X52" s="53"/>
      <c r="Y52" s="53"/>
      <c r="Z52" s="53"/>
      <c r="AA52" s="53"/>
      <c r="AB52" s="53"/>
      <c r="AC52" s="53"/>
      <c r="AD52" s="53"/>
      <c r="AE52" s="53"/>
      <c r="AF52" s="53"/>
      <c r="AG52" s="53"/>
      <c r="AH52" s="53"/>
      <c r="AI52" s="53"/>
      <c r="AJ52" s="53"/>
      <c r="AK52" s="53"/>
      <c r="AL52" s="53"/>
      <c r="AM52" s="53"/>
      <c r="AN52" s="53"/>
      <c r="AO52" s="53"/>
    </row>
  </sheetData>
  <sheetProtection algorithmName="SHA-512" hashValue="gs1yBzTXyq+p5Y2HgJBoAAnLnI9uB+DiW5U4++t/Y+NH6QkJBtoNjgfG/yE8Kadv6GilaUSvhriWEFoAWZ5+OQ==" saltValue="PeBsI+mNDRy5BZRG8qYS6A==" spinCount="100000" sheet="1" objects="1" scenarios="1"/>
  <mergeCells count="4">
    <mergeCell ref="F3:H3"/>
    <mergeCell ref="F6:H6"/>
    <mergeCell ref="C17:C18"/>
    <mergeCell ref="B7:H7"/>
  </mergeCells>
  <conditionalFormatting sqref="P21:P33">
    <cfRule type="cellIs" dxfId="77" priority="20" stopIfTrue="1" operator="lessThan">
      <formula>0.005</formula>
    </cfRule>
  </conditionalFormatting>
  <pageMargins left="0.43307086614173229" right="0.31496062992125984" top="0.43307086614173229" bottom="0.62992125984251968" header="0.35433070866141736" footer="0.31496062992125984"/>
  <pageSetup paperSize="9" scale="77"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1" id="{597B1996-387E-4BBC-8270-32BBB743A0C9}">
            <xm:f>AND(Home!$C$8=FALSE,$D10&lt;&gt;"P C Sum",$D10&lt;&gt;"PC Sum",$D10&lt;&gt;"P Sum",$D10&lt;&gt;"Prov Sum")</xm:f>
            <x14:dxf>
              <font>
                <color theme="0"/>
              </font>
            </x14:dxf>
          </x14:cfRule>
          <xm:sqref>G10:H49</xm:sqref>
        </x14:conditionalFormatting>
        <x14:conditionalFormatting xmlns:xm="http://schemas.microsoft.com/office/excel/2006/main">
          <x14:cfRule type="expression" priority="24" id="{7D7A4DD4-6E8C-4B42-940C-3BB150147B49}">
            <xm:f>AND(Home!$C$8=FALSE,#REF!&lt;&gt;"P C Sum",#REF!&lt;&gt;"PC Sum",#REF!&lt;&gt;"P Sum",#REF!&lt;&gt;"Prov Sum")</xm:f>
            <x14:dxf>
              <font>
                <color theme="0"/>
              </font>
            </x14:dxf>
          </x14:cfRule>
          <xm:sqref>K49:M49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E940A-32BE-4614-8834-E3E1D2194000}">
  <sheetPr codeName="Sheet7">
    <tabColor theme="9" tint="0.59999389629810485"/>
  </sheetPr>
  <dimension ref="A1:AO29"/>
  <sheetViews>
    <sheetView showGridLines="0" view="pageBreakPreview" zoomScale="115" zoomScaleSheetLayoutView="115" workbookViewId="0">
      <pane xSplit="5" ySplit="2" topLeftCell="F3" activePane="bottomRight" state="frozen"/>
      <selection activeCell="F47" sqref="F47"/>
      <selection pane="topRight" activeCell="F47" sqref="F47"/>
      <selection pane="bottomLeft" activeCell="F47" sqref="F47"/>
      <selection pane="bottomRight" activeCell="K5" sqref="K5"/>
    </sheetView>
  </sheetViews>
  <sheetFormatPr defaultColWidth="8.81640625" defaultRowHeight="12" customHeight="1" x14ac:dyDescent="0.25"/>
  <cols>
    <col min="1" max="1" width="1.1796875" style="178" customWidth="1"/>
    <col min="2" max="2" width="7.453125" style="547" customWidth="1"/>
    <col min="3" max="3" width="41.1796875" style="548" customWidth="1"/>
    <col min="4" max="4" width="9" style="549" customWidth="1"/>
    <col min="5" max="5" width="4.453125" style="549" customWidth="1"/>
    <col min="6" max="6" width="13.1796875" style="549" customWidth="1"/>
    <col min="7" max="7" width="12.1796875" style="178" customWidth="1"/>
    <col min="8" max="8" width="16.08984375" style="178" customWidth="1"/>
    <col min="9" max="9" width="1.1796875" style="178" customWidth="1"/>
    <col min="10" max="10" width="13.54296875" style="185" customWidth="1"/>
    <col min="11" max="12" width="14.1796875" style="185" customWidth="1"/>
    <col min="13" max="13" width="14.1796875" style="182" customWidth="1"/>
    <col min="14" max="14" width="7.453125" style="181" customWidth="1"/>
    <col min="15" max="15" width="11.54296875" style="181" customWidth="1"/>
    <col min="16" max="16" width="7.453125" style="181" customWidth="1"/>
    <col min="17" max="17" width="14.453125" style="181" customWidth="1"/>
    <col min="18" max="18" width="11.453125" style="181" bestFit="1" customWidth="1"/>
    <col min="19" max="19" width="5.453125" style="178" customWidth="1"/>
    <col min="20" max="16384" width="8.81640625" style="178"/>
  </cols>
  <sheetData>
    <row r="1" spans="1:41" ht="12" customHeight="1" x14ac:dyDescent="0.25">
      <c r="B1" s="179"/>
      <c r="C1" s="180" t="s">
        <v>61</v>
      </c>
      <c r="D1" s="181"/>
      <c r="E1" s="181"/>
      <c r="F1" s="192" t="s">
        <v>93</v>
      </c>
      <c r="G1" s="180">
        <v>1</v>
      </c>
      <c r="H1" s="183">
        <f>MAX(H2:H52)</f>
        <v>0</v>
      </c>
    </row>
    <row r="2" spans="1:41" ht="12" customHeight="1" x14ac:dyDescent="0.25">
      <c r="A2" s="182"/>
      <c r="B2" s="190"/>
      <c r="C2" s="191"/>
      <c r="D2" s="191"/>
      <c r="E2" s="191"/>
      <c r="F2" s="191"/>
      <c r="G2" s="191"/>
      <c r="H2" s="191"/>
      <c r="I2" s="192"/>
      <c r="J2" s="193"/>
      <c r="K2" s="193"/>
      <c r="L2" s="193"/>
      <c r="M2" s="193"/>
    </row>
    <row r="3" spans="1:41" s="182" customFormat="1" ht="11.5" x14ac:dyDescent="0.25">
      <c r="B3" s="194" t="str">
        <f>_Client1</f>
        <v>Province of KwaZulu-Natal</v>
      </c>
      <c r="C3" s="180"/>
      <c r="D3" s="181"/>
      <c r="F3" s="767" t="s">
        <v>647</v>
      </c>
      <c r="G3" s="767"/>
      <c r="H3" s="767"/>
      <c r="J3" s="185"/>
      <c r="K3" s="185"/>
      <c r="L3" s="185"/>
      <c r="O3" s="181"/>
    </row>
    <row r="4" spans="1:41" s="182" customFormat="1" ht="11.5" x14ac:dyDescent="0.25">
      <c r="B4" s="195" t="str">
        <f>_Client2</f>
        <v>Department of Transport</v>
      </c>
      <c r="C4" s="180"/>
      <c r="D4" s="181"/>
      <c r="E4" s="181"/>
      <c r="F4" s="181"/>
      <c r="G4" s="181"/>
      <c r="H4" s="181"/>
      <c r="J4" s="185"/>
      <c r="K4" s="185"/>
      <c r="L4" s="185"/>
      <c r="N4" s="192"/>
      <c r="O4" s="181"/>
    </row>
    <row r="5" spans="1:41" ht="11.5" x14ac:dyDescent="0.25"/>
    <row r="6" spans="1:41" s="182" customFormat="1" ht="11.5" x14ac:dyDescent="0.25">
      <c r="B6" s="196" t="s">
        <v>21</v>
      </c>
      <c r="C6" s="550"/>
      <c r="D6" s="551"/>
      <c r="E6" s="551"/>
      <c r="F6" s="768" t="str">
        <f>"SECTION "&amp;B11</f>
        <v>SECTION C5.2</v>
      </c>
      <c r="G6" s="768"/>
      <c r="H6" s="769"/>
      <c r="I6" s="552"/>
      <c r="J6" s="199"/>
      <c r="K6" s="199"/>
      <c r="L6" s="199"/>
      <c r="M6" s="200"/>
      <c r="N6" s="181"/>
      <c r="O6" s="181"/>
      <c r="P6" s="181"/>
      <c r="Q6" s="181"/>
      <c r="R6" s="181"/>
    </row>
    <row r="7" spans="1:41" ht="24.9" customHeight="1" x14ac:dyDescent="0.25">
      <c r="B7" s="770" t="s">
        <v>657</v>
      </c>
      <c r="C7" s="771"/>
      <c r="D7" s="771"/>
      <c r="E7" s="771"/>
      <c r="F7" s="771"/>
      <c r="G7" s="771"/>
      <c r="H7" s="772"/>
      <c r="I7" s="553"/>
      <c r="J7" s="201"/>
      <c r="K7" s="201"/>
      <c r="L7" s="201"/>
      <c r="M7" s="202"/>
      <c r="S7" s="182"/>
      <c r="T7" s="182"/>
      <c r="U7" s="182"/>
      <c r="V7" s="182"/>
    </row>
    <row r="8" spans="1:41" ht="8.15" customHeight="1" x14ac:dyDescent="0.25">
      <c r="B8" s="554"/>
      <c r="C8" s="555"/>
      <c r="D8" s="555"/>
      <c r="E8" s="555"/>
      <c r="F8" s="555"/>
      <c r="G8" s="555"/>
      <c r="H8" s="556"/>
      <c r="I8" s="553"/>
      <c r="J8" s="201"/>
      <c r="K8" s="201"/>
      <c r="L8" s="201"/>
      <c r="M8" s="202"/>
      <c r="S8" s="182"/>
      <c r="T8" s="182"/>
      <c r="U8" s="182"/>
      <c r="V8" s="182"/>
    </row>
    <row r="9" spans="1:41" s="557" customFormat="1" ht="20.149999999999999" customHeight="1" x14ac:dyDescent="0.25">
      <c r="B9" s="558" t="s">
        <v>0</v>
      </c>
      <c r="C9" s="559" t="s">
        <v>1</v>
      </c>
      <c r="D9" s="559" t="s">
        <v>2</v>
      </c>
      <c r="E9" s="559" t="s">
        <v>30</v>
      </c>
      <c r="F9" s="559" t="s">
        <v>3</v>
      </c>
      <c r="G9" s="559" t="s">
        <v>4</v>
      </c>
      <c r="H9" s="559" t="s">
        <v>5</v>
      </c>
      <c r="I9" s="211"/>
      <c r="J9" s="193"/>
      <c r="K9" s="193"/>
      <c r="L9" s="193"/>
      <c r="M9" s="211"/>
      <c r="N9" s="181"/>
      <c r="O9" s="181"/>
      <c r="P9" s="181"/>
      <c r="Q9" s="181"/>
      <c r="R9" s="181"/>
      <c r="S9" s="182"/>
      <c r="T9" s="182"/>
      <c r="U9" s="182"/>
      <c r="V9" s="182"/>
    </row>
    <row r="10" spans="1:41" ht="11.5" x14ac:dyDescent="0.25">
      <c r="B10" s="234"/>
      <c r="C10" s="229"/>
      <c r="D10" s="213"/>
      <c r="E10" s="213"/>
      <c r="F10" s="70"/>
      <c r="G10" s="560"/>
      <c r="H10" s="560" t="str">
        <f>IF(D10="","",F10*G10)</f>
        <v/>
      </c>
      <c r="I10" s="561"/>
      <c r="J10" s="217"/>
      <c r="K10" s="218"/>
      <c r="L10" s="219"/>
      <c r="M10" s="220"/>
      <c r="S10" s="182"/>
      <c r="T10" s="182"/>
      <c r="U10" s="182"/>
      <c r="V10" s="182"/>
    </row>
    <row r="11" spans="1:41" ht="12.5" x14ac:dyDescent="0.25">
      <c r="B11" s="562" t="s">
        <v>432</v>
      </c>
      <c r="C11" s="563" t="s">
        <v>433</v>
      </c>
      <c r="D11" s="213"/>
      <c r="E11" s="213"/>
      <c r="F11" s="70"/>
      <c r="G11" s="560"/>
      <c r="H11" s="560" t="str">
        <f>IF(D11="","",F11*G11)</f>
        <v/>
      </c>
      <c r="I11" s="561"/>
      <c r="J11" s="217"/>
      <c r="K11" s="218"/>
      <c r="L11" s="219"/>
      <c r="M11" s="220"/>
      <c r="S11" s="182"/>
      <c r="T11" s="182"/>
      <c r="U11" s="182"/>
      <c r="V11" s="182"/>
      <c r="W11" s="564"/>
      <c r="X11" s="564"/>
      <c r="Y11" s="564"/>
      <c r="Z11" s="564"/>
      <c r="AA11" s="564"/>
      <c r="AB11" s="564"/>
      <c r="AC11" s="564"/>
      <c r="AD11" s="564"/>
      <c r="AE11" s="564"/>
      <c r="AF11" s="564"/>
      <c r="AG11" s="564"/>
      <c r="AH11" s="564"/>
      <c r="AI11" s="564"/>
      <c r="AJ11" s="564"/>
      <c r="AK11" s="564"/>
      <c r="AL11" s="564"/>
      <c r="AM11" s="564"/>
      <c r="AN11" s="564"/>
      <c r="AO11" s="564"/>
    </row>
    <row r="12" spans="1:41" ht="12.5" x14ac:dyDescent="0.25">
      <c r="B12" s="565"/>
      <c r="C12" s="229"/>
      <c r="D12" s="213"/>
      <c r="E12" s="213"/>
      <c r="F12" s="70"/>
      <c r="G12" s="560"/>
      <c r="H12" s="560"/>
      <c r="I12" s="561"/>
      <c r="J12" s="217"/>
      <c r="K12" s="218"/>
      <c r="L12" s="219"/>
      <c r="M12" s="220"/>
      <c r="P12" s="566"/>
      <c r="Q12" s="566"/>
      <c r="R12" s="566"/>
      <c r="S12" s="566"/>
      <c r="T12" s="566"/>
      <c r="U12" s="566"/>
      <c r="V12" s="566"/>
      <c r="W12" s="564"/>
      <c r="X12" s="564"/>
      <c r="Y12" s="564"/>
      <c r="Z12" s="564"/>
      <c r="AA12" s="564"/>
      <c r="AB12" s="564"/>
      <c r="AC12" s="564"/>
      <c r="AD12" s="564"/>
      <c r="AE12" s="564"/>
      <c r="AF12" s="564"/>
      <c r="AG12" s="564"/>
      <c r="AH12" s="564"/>
      <c r="AI12" s="564"/>
      <c r="AJ12" s="564"/>
      <c r="AK12" s="564"/>
      <c r="AL12" s="564"/>
      <c r="AM12" s="564"/>
      <c r="AN12" s="564"/>
      <c r="AO12" s="564"/>
    </row>
    <row r="13" spans="1:41" ht="29.25" customHeight="1" x14ac:dyDescent="0.25">
      <c r="B13" s="234" t="s">
        <v>434</v>
      </c>
      <c r="C13" s="229" t="s">
        <v>435</v>
      </c>
      <c r="D13" s="567"/>
      <c r="E13" s="568"/>
      <c r="F13" s="130"/>
      <c r="G13" s="569"/>
      <c r="H13" s="570"/>
      <c r="I13" s="401"/>
      <c r="J13" s="240"/>
      <c r="K13" s="218"/>
      <c r="L13" s="219"/>
      <c r="M13" s="220"/>
      <c r="W13" s="564"/>
      <c r="X13" s="564"/>
      <c r="Y13" s="564"/>
      <c r="Z13" s="564"/>
      <c r="AA13" s="564"/>
      <c r="AB13" s="564"/>
      <c r="AC13" s="564"/>
      <c r="AD13" s="564"/>
      <c r="AE13" s="564"/>
      <c r="AF13" s="564"/>
      <c r="AG13" s="564"/>
      <c r="AH13" s="564"/>
      <c r="AI13" s="564"/>
      <c r="AJ13" s="564"/>
      <c r="AK13" s="564"/>
      <c r="AL13" s="564"/>
      <c r="AM13" s="564"/>
      <c r="AN13" s="564"/>
      <c r="AO13" s="564"/>
    </row>
    <row r="14" spans="1:41" ht="22.5" customHeight="1" x14ac:dyDescent="0.25">
      <c r="B14" s="234" t="s">
        <v>436</v>
      </c>
      <c r="C14" s="229" t="s">
        <v>437</v>
      </c>
      <c r="D14" s="567"/>
      <c r="E14" s="568"/>
      <c r="F14" s="130"/>
      <c r="G14" s="569"/>
      <c r="H14" s="570"/>
      <c r="I14" s="401"/>
      <c r="J14" s="240"/>
      <c r="K14" s="218"/>
      <c r="L14" s="219"/>
      <c r="M14" s="220"/>
      <c r="W14" s="564"/>
      <c r="X14" s="564"/>
      <c r="Y14" s="564"/>
      <c r="Z14" s="564"/>
      <c r="AA14" s="564"/>
      <c r="AB14" s="564"/>
      <c r="AC14" s="564"/>
      <c r="AD14" s="564"/>
      <c r="AE14" s="564"/>
      <c r="AF14" s="564"/>
      <c r="AG14" s="564"/>
      <c r="AH14" s="564"/>
      <c r="AI14" s="564"/>
      <c r="AJ14" s="564"/>
      <c r="AK14" s="564"/>
      <c r="AL14" s="564"/>
      <c r="AM14" s="564"/>
      <c r="AN14" s="564"/>
      <c r="AO14" s="564"/>
    </row>
    <row r="15" spans="1:41" ht="14.5" x14ac:dyDescent="0.25">
      <c r="B15" s="234"/>
      <c r="C15" s="229"/>
      <c r="D15" s="230"/>
      <c r="E15" s="230"/>
      <c r="F15" s="128"/>
      <c r="G15" s="571"/>
      <c r="H15" s="571" t="str">
        <f>IF(D15="","",F15*G15)</f>
        <v/>
      </c>
      <c r="I15" s="561"/>
      <c r="J15" s="217"/>
      <c r="K15" s="218"/>
      <c r="L15" s="219"/>
      <c r="M15" s="220"/>
      <c r="P15" s="564"/>
      <c r="Q15" s="564"/>
      <c r="R15" s="564"/>
      <c r="S15" s="564"/>
      <c r="T15" s="564"/>
      <c r="U15" s="564"/>
      <c r="V15" s="564"/>
      <c r="W15" s="564"/>
      <c r="X15" s="564"/>
      <c r="Y15" s="564"/>
      <c r="Z15" s="564"/>
      <c r="AA15" s="564"/>
      <c r="AB15" s="564"/>
      <c r="AC15" s="564"/>
      <c r="AD15" s="572" t="s">
        <v>33</v>
      </c>
      <c r="AE15" s="573" t="s">
        <v>31</v>
      </c>
      <c r="AF15" s="573"/>
      <c r="AG15" s="573" t="s">
        <v>32</v>
      </c>
      <c r="AH15" s="573"/>
      <c r="AI15" s="573" t="s">
        <v>78</v>
      </c>
      <c r="AJ15" s="573"/>
      <c r="AK15" s="573" t="s">
        <v>79</v>
      </c>
      <c r="AL15" s="564"/>
      <c r="AM15" s="564"/>
      <c r="AN15" s="564"/>
      <c r="AO15" s="564"/>
    </row>
    <row r="16" spans="1:41" ht="15.75" customHeight="1" x14ac:dyDescent="0.25">
      <c r="B16" s="234"/>
      <c r="C16" s="229" t="s">
        <v>577</v>
      </c>
      <c r="D16" s="230" t="s">
        <v>13</v>
      </c>
      <c r="E16" s="230" t="s">
        <v>30</v>
      </c>
      <c r="F16" s="128">
        <v>25679</v>
      </c>
      <c r="G16" s="171">
        <v>0</v>
      </c>
      <c r="H16" s="237">
        <f>IF(D16="","",F16*G16)</f>
        <v>0</v>
      </c>
      <c r="I16" s="401"/>
      <c r="J16" s="217"/>
      <c r="K16" s="218"/>
      <c r="L16" s="219"/>
      <c r="M16" s="220"/>
      <c r="P16" s="564"/>
      <c r="Q16" s="206"/>
      <c r="R16" s="206"/>
      <c r="S16" s="574"/>
      <c r="T16" s="566"/>
      <c r="U16" s="206"/>
      <c r="V16" s="566"/>
      <c r="W16" s="564"/>
      <c r="X16" s="564"/>
      <c r="Y16" s="564"/>
      <c r="Z16" s="564"/>
      <c r="AA16" s="564"/>
      <c r="AB16" s="564"/>
      <c r="AC16" s="564"/>
      <c r="AD16" s="575"/>
      <c r="AE16" s="575"/>
      <c r="AF16" s="575"/>
      <c r="AG16" s="575"/>
      <c r="AH16" s="575"/>
      <c r="AI16" s="575"/>
      <c r="AJ16" s="575"/>
      <c r="AK16" s="575"/>
      <c r="AL16" s="575"/>
      <c r="AM16" s="564"/>
      <c r="AN16" s="564"/>
      <c r="AO16" s="564"/>
    </row>
    <row r="17" spans="1:41" ht="14.25" customHeight="1" x14ac:dyDescent="0.25">
      <c r="B17" s="565"/>
      <c r="C17" s="229"/>
      <c r="D17" s="230"/>
      <c r="E17" s="230"/>
      <c r="F17" s="128"/>
      <c r="G17" s="571"/>
      <c r="H17" s="523"/>
      <c r="I17" s="401"/>
      <c r="J17" s="217"/>
      <c r="K17" s="218"/>
      <c r="L17" s="219"/>
      <c r="M17" s="220"/>
      <c r="P17" s="564"/>
      <c r="Q17" s="206"/>
      <c r="R17" s="206"/>
      <c r="S17" s="574"/>
      <c r="T17" s="566"/>
      <c r="U17" s="206"/>
      <c r="V17" s="566"/>
      <c r="W17" s="564"/>
      <c r="X17" s="564"/>
      <c r="Y17" s="564"/>
      <c r="Z17" s="564"/>
      <c r="AA17" s="564"/>
      <c r="AB17" s="564"/>
      <c r="AC17" s="564"/>
      <c r="AD17" s="575"/>
      <c r="AE17" s="575"/>
      <c r="AF17" s="575"/>
      <c r="AG17" s="575"/>
      <c r="AH17" s="575"/>
      <c r="AI17" s="575"/>
      <c r="AJ17" s="575"/>
      <c r="AK17" s="575"/>
      <c r="AL17" s="575"/>
      <c r="AM17" s="564"/>
      <c r="AN17" s="564"/>
      <c r="AO17" s="564"/>
    </row>
    <row r="18" spans="1:41" ht="12" customHeight="1" x14ac:dyDescent="0.25">
      <c r="B18" s="234" t="s">
        <v>438</v>
      </c>
      <c r="C18" s="229" t="s">
        <v>439</v>
      </c>
      <c r="D18" s="230"/>
      <c r="E18" s="230"/>
      <c r="F18" s="128"/>
      <c r="G18" s="571"/>
      <c r="H18" s="523"/>
      <c r="I18" s="401"/>
      <c r="J18" s="217"/>
      <c r="K18" s="218"/>
      <c r="L18" s="219"/>
      <c r="M18" s="220"/>
      <c r="P18" s="564"/>
      <c r="Q18" s="206"/>
      <c r="R18" s="566"/>
      <c r="S18" s="566"/>
      <c r="T18" s="566"/>
      <c r="U18" s="566"/>
      <c r="V18" s="566"/>
      <c r="W18" s="564"/>
      <c r="X18" s="564"/>
      <c r="Y18" s="564"/>
      <c r="Z18" s="564"/>
      <c r="AA18" s="564"/>
      <c r="AB18" s="564"/>
      <c r="AC18" s="564"/>
      <c r="AD18" s="576" t="e">
        <f>#REF!</f>
        <v>#REF!</v>
      </c>
      <c r="AE18" s="577"/>
      <c r="AF18" s="577">
        <v>2.2000000000000002</v>
      </c>
      <c r="AG18" s="577">
        <v>2</v>
      </c>
      <c r="AH18" s="578">
        <v>2</v>
      </c>
      <c r="AI18" s="577"/>
      <c r="AJ18" s="537" t="e">
        <f>AF18*#REF!*#REF!</f>
        <v>#REF!</v>
      </c>
      <c r="AK18" s="289" t="s">
        <v>16</v>
      </c>
      <c r="AL18" s="575"/>
      <c r="AM18" s="564"/>
      <c r="AN18" s="564"/>
      <c r="AO18" s="564"/>
    </row>
    <row r="19" spans="1:41" ht="12.5" x14ac:dyDescent="0.25">
      <c r="B19" s="234"/>
      <c r="C19" s="229"/>
      <c r="D19" s="230"/>
      <c r="E19" s="230"/>
      <c r="F19" s="128"/>
      <c r="G19" s="571"/>
      <c r="H19" s="233"/>
      <c r="I19" s="401"/>
      <c r="J19" s="217"/>
      <c r="K19" s="218"/>
      <c r="L19" s="219"/>
      <c r="M19" s="220"/>
      <c r="P19" s="564"/>
      <c r="Q19" s="206"/>
      <c r="R19" s="566"/>
      <c r="S19" s="566"/>
      <c r="T19" s="566"/>
      <c r="U19" s="566"/>
      <c r="V19" s="566"/>
      <c r="W19" s="564"/>
      <c r="X19" s="564"/>
      <c r="Y19" s="564"/>
      <c r="Z19" s="564"/>
      <c r="AA19" s="564"/>
      <c r="AB19" s="564"/>
      <c r="AC19" s="564"/>
      <c r="AD19" s="576"/>
      <c r="AE19" s="577"/>
      <c r="AF19" s="577"/>
      <c r="AG19" s="577"/>
      <c r="AH19" s="578"/>
      <c r="AI19" s="577"/>
      <c r="AJ19" s="537"/>
      <c r="AK19" s="579"/>
      <c r="AL19" s="575"/>
      <c r="AM19" s="564"/>
      <c r="AN19" s="564"/>
      <c r="AO19" s="564"/>
    </row>
    <row r="20" spans="1:41" ht="12.5" x14ac:dyDescent="0.25">
      <c r="B20" s="234"/>
      <c r="C20" s="229" t="s">
        <v>578</v>
      </c>
      <c r="D20" s="230" t="s">
        <v>13</v>
      </c>
      <c r="E20" s="230" t="s">
        <v>30</v>
      </c>
      <c r="F20" s="128">
        <v>600</v>
      </c>
      <c r="G20" s="171">
        <v>0</v>
      </c>
      <c r="H20" s="237">
        <f>IF(D20="","",F20*G20)</f>
        <v>0</v>
      </c>
      <c r="I20" s="532"/>
      <c r="J20" s="217"/>
      <c r="K20" s="218"/>
      <c r="L20" s="219"/>
      <c r="M20" s="220"/>
      <c r="P20" s="564"/>
      <c r="Q20" s="206"/>
      <c r="R20" s="566"/>
      <c r="S20" s="566"/>
      <c r="T20" s="566"/>
      <c r="U20" s="566"/>
      <c r="V20" s="566"/>
      <c r="W20" s="564"/>
      <c r="X20" s="564"/>
      <c r="Y20" s="564"/>
      <c r="Z20" s="564"/>
      <c r="AA20" s="564"/>
      <c r="AB20" s="564"/>
      <c r="AC20" s="564"/>
      <c r="AD20" s="576"/>
      <c r="AE20" s="577"/>
      <c r="AF20" s="577"/>
      <c r="AG20" s="577"/>
      <c r="AH20" s="578"/>
      <c r="AI20" s="577"/>
      <c r="AJ20" s="537"/>
      <c r="AK20" s="579"/>
      <c r="AL20" s="575"/>
      <c r="AM20" s="564"/>
      <c r="AN20" s="564"/>
      <c r="AO20" s="564"/>
    </row>
    <row r="21" spans="1:41" ht="12.5" x14ac:dyDescent="0.25">
      <c r="B21" s="580"/>
      <c r="C21" s="229"/>
      <c r="D21" s="581"/>
      <c r="E21" s="581"/>
      <c r="F21" s="128"/>
      <c r="G21" s="582"/>
      <c r="H21" s="523" t="str">
        <f>IF(D21="","",F21*G21)</f>
        <v/>
      </c>
      <c r="I21" s="401"/>
      <c r="J21" s="217"/>
      <c r="K21" s="218"/>
      <c r="L21" s="219"/>
      <c r="M21" s="220"/>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row>
    <row r="22" spans="1:41" ht="12.5" x14ac:dyDescent="0.25">
      <c r="B22" s="234" t="s">
        <v>440</v>
      </c>
      <c r="C22" s="229" t="s">
        <v>441</v>
      </c>
      <c r="D22" s="230"/>
      <c r="E22" s="230"/>
      <c r="F22" s="128"/>
      <c r="G22" s="571"/>
      <c r="H22" s="523"/>
      <c r="I22" s="532"/>
      <c r="J22" s="217"/>
      <c r="K22" s="218"/>
      <c r="L22" s="219"/>
      <c r="M22" s="220"/>
      <c r="N22" s="583"/>
      <c r="O22" s="583"/>
      <c r="P22" s="583"/>
      <c r="Q22" s="583"/>
      <c r="R22" s="583"/>
      <c r="S22" s="583"/>
      <c r="T22" s="583"/>
      <c r="U22" s="583"/>
      <c r="V22" s="564"/>
      <c r="W22" s="564"/>
      <c r="X22" s="564"/>
      <c r="Y22" s="564"/>
      <c r="Z22" s="564"/>
      <c r="AA22" s="564"/>
      <c r="AB22" s="564"/>
      <c r="AC22" s="564"/>
      <c r="AD22" s="564"/>
      <c r="AE22" s="564"/>
      <c r="AF22" s="564"/>
      <c r="AG22" s="564"/>
      <c r="AH22" s="564"/>
      <c r="AI22" s="564"/>
      <c r="AJ22" s="564"/>
      <c r="AK22" s="564"/>
      <c r="AL22" s="564"/>
      <c r="AM22" s="564"/>
      <c r="AN22" s="564"/>
      <c r="AO22" s="564"/>
    </row>
    <row r="23" spans="1:41" ht="12.5" x14ac:dyDescent="0.25">
      <c r="B23" s="234"/>
      <c r="C23" s="229"/>
      <c r="D23" s="230"/>
      <c r="E23" s="230"/>
      <c r="F23" s="128"/>
      <c r="G23" s="571"/>
      <c r="H23" s="523" t="str">
        <f>IF(D23="","",F23*G23)</f>
        <v/>
      </c>
      <c r="I23" s="401"/>
      <c r="J23" s="217"/>
      <c r="K23" s="218"/>
      <c r="L23" s="219"/>
      <c r="M23" s="220"/>
      <c r="N23" s="583"/>
      <c r="O23" s="584"/>
      <c r="P23" s="583"/>
      <c r="Q23" s="583"/>
      <c r="R23" s="583"/>
      <c r="S23" s="583"/>
      <c r="T23" s="583"/>
      <c r="U23" s="583"/>
      <c r="V23" s="564"/>
      <c r="W23" s="564"/>
      <c r="X23" s="564"/>
      <c r="Y23" s="564"/>
      <c r="Z23" s="564"/>
      <c r="AA23" s="564"/>
      <c r="AB23" s="564"/>
      <c r="AC23" s="564"/>
      <c r="AD23" s="564"/>
      <c r="AE23" s="564"/>
      <c r="AF23" s="564"/>
      <c r="AG23" s="564"/>
      <c r="AH23" s="564"/>
      <c r="AI23" s="564"/>
      <c r="AJ23" s="564"/>
      <c r="AK23" s="564"/>
      <c r="AL23" s="564"/>
      <c r="AM23" s="564"/>
      <c r="AN23" s="564"/>
      <c r="AO23" s="564"/>
    </row>
    <row r="24" spans="1:41" ht="23" x14ac:dyDescent="0.25">
      <c r="B24" s="234" t="s">
        <v>442</v>
      </c>
      <c r="C24" s="229" t="s">
        <v>443</v>
      </c>
      <c r="D24" s="230" t="s">
        <v>13</v>
      </c>
      <c r="E24" s="230" t="s">
        <v>30</v>
      </c>
      <c r="F24" s="128">
        <v>7323</v>
      </c>
      <c r="G24" s="171">
        <v>0</v>
      </c>
      <c r="H24" s="237">
        <f>IF(D24="","",F24*G24)</f>
        <v>0</v>
      </c>
      <c r="I24" s="532"/>
      <c r="J24" s="217"/>
      <c r="K24" s="218"/>
      <c r="L24" s="219"/>
      <c r="M24" s="220"/>
      <c r="N24" s="583"/>
      <c r="O24" s="584"/>
      <c r="P24" s="583"/>
      <c r="Q24" s="583"/>
      <c r="R24" s="583"/>
      <c r="S24" s="583"/>
      <c r="T24" s="583"/>
      <c r="U24" s="583"/>
      <c r="V24" s="564"/>
      <c r="W24" s="564"/>
      <c r="X24" s="564"/>
      <c r="Y24" s="564"/>
      <c r="Z24" s="564"/>
      <c r="AA24" s="564"/>
      <c r="AB24" s="564"/>
      <c r="AC24" s="564"/>
      <c r="AD24" s="564"/>
      <c r="AE24" s="564"/>
      <c r="AF24" s="564"/>
      <c r="AG24" s="564"/>
      <c r="AH24" s="564"/>
      <c r="AI24" s="564"/>
      <c r="AJ24" s="564"/>
      <c r="AK24" s="564"/>
      <c r="AL24" s="564"/>
      <c r="AM24" s="564"/>
      <c r="AN24" s="564"/>
      <c r="AO24" s="564"/>
    </row>
    <row r="25" spans="1:41" ht="12.5" x14ac:dyDescent="0.25">
      <c r="B25" s="234"/>
      <c r="C25" s="229"/>
      <c r="D25" s="230"/>
      <c r="E25" s="230"/>
      <c r="F25" s="128"/>
      <c r="G25" s="571"/>
      <c r="H25" s="523" t="str">
        <f>IF(D25="","",F25*G25)</f>
        <v/>
      </c>
      <c r="I25" s="401"/>
      <c r="J25" s="217"/>
      <c r="K25" s="218"/>
      <c r="L25" s="219"/>
      <c r="M25" s="220"/>
      <c r="N25" s="583"/>
      <c r="O25" s="583"/>
      <c r="P25" s="583"/>
      <c r="Q25" s="583"/>
      <c r="R25" s="583"/>
      <c r="S25" s="583"/>
      <c r="T25" s="583"/>
      <c r="U25" s="583"/>
      <c r="V25" s="564"/>
      <c r="W25" s="564"/>
      <c r="X25" s="564"/>
      <c r="Y25" s="564"/>
      <c r="Z25" s="564"/>
      <c r="AA25" s="564"/>
      <c r="AB25" s="564"/>
      <c r="AC25" s="564"/>
      <c r="AD25" s="564"/>
      <c r="AE25" s="564"/>
      <c r="AF25" s="564"/>
      <c r="AG25" s="564"/>
      <c r="AH25" s="564"/>
      <c r="AI25" s="564"/>
      <c r="AJ25" s="564"/>
      <c r="AK25" s="564"/>
      <c r="AL25" s="564"/>
      <c r="AM25" s="564"/>
      <c r="AN25" s="564"/>
      <c r="AO25" s="564"/>
    </row>
    <row r="26" spans="1:41" s="181" customFormat="1" ht="22.5" customHeight="1" x14ac:dyDescent="0.25">
      <c r="A26" s="178"/>
      <c r="B26" s="585" t="str">
        <f>B11</f>
        <v>C5.2</v>
      </c>
      <c r="C26" s="249" t="str">
        <f>"TOTAL CARRIED FORWARD"&amp;IF(H26=H$1," TO SUMMARY")</f>
        <v>TOTAL CARRIED FORWARD TO SUMMARY</v>
      </c>
      <c r="D26" s="586"/>
      <c r="E26" s="586"/>
      <c r="F26" s="587"/>
      <c r="G26" s="588"/>
      <c r="H26" s="253">
        <f>SUM(H10:H25)</f>
        <v>0</v>
      </c>
      <c r="I26" s="589"/>
      <c r="J26" s="254"/>
      <c r="K26" s="254"/>
      <c r="L26" s="255"/>
      <c r="M26" s="256"/>
      <c r="O26" s="590"/>
      <c r="Q26" s="517"/>
      <c r="S26" s="178"/>
      <c r="T26" s="178"/>
      <c r="U26" s="178"/>
      <c r="V26" s="178"/>
      <c r="W26" s="178"/>
      <c r="X26" s="178"/>
      <c r="Y26" s="178"/>
    </row>
    <row r="27" spans="1:41" ht="6" customHeight="1" x14ac:dyDescent="0.25">
      <c r="L27" s="263"/>
    </row>
    <row r="28" spans="1:41" s="182" customFormat="1" ht="12" customHeight="1" x14ac:dyDescent="0.25">
      <c r="A28" s="178"/>
      <c r="B28" s="547"/>
      <c r="C28" s="548"/>
      <c r="D28" s="549"/>
      <c r="E28" s="549"/>
      <c r="F28" s="549"/>
      <c r="G28" s="178"/>
      <c r="H28" s="178"/>
      <c r="I28" s="178"/>
      <c r="J28" s="185"/>
      <c r="K28" s="185"/>
      <c r="L28" s="263"/>
      <c r="N28" s="181"/>
      <c r="O28" s="181"/>
      <c r="P28" s="181"/>
      <c r="Q28" s="181"/>
      <c r="R28" s="181"/>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row>
    <row r="29" spans="1:41" s="182" customFormat="1" ht="12" customHeight="1" x14ac:dyDescent="0.25">
      <c r="A29" s="178"/>
      <c r="B29" s="547"/>
      <c r="C29" s="548"/>
      <c r="D29" s="549"/>
      <c r="E29" s="549"/>
      <c r="F29" s="549"/>
      <c r="G29" s="178"/>
      <c r="H29" s="178"/>
      <c r="I29" s="178"/>
      <c r="J29" s="185"/>
      <c r="K29" s="185"/>
      <c r="L29" s="263"/>
      <c r="N29" s="181"/>
      <c r="O29" s="181"/>
      <c r="P29" s="181"/>
      <c r="Q29" s="181"/>
      <c r="R29" s="181"/>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row>
  </sheetData>
  <sheetProtection algorithmName="SHA-512" hashValue="uF65uw+QQsZdwrd0aqLUZOLWo/g40Pr2Yb0Gcr0cKWTxvEPnHK9mBfn+GL2pEdleAEmpbYH1PYbcF7ebOvmrEw==" saltValue="a7w92RNoV00HuVedVFKViQ==" spinCount="100000" sheet="1" objects="1" scenarios="1"/>
  <mergeCells count="3">
    <mergeCell ref="F3:H3"/>
    <mergeCell ref="F6:H6"/>
    <mergeCell ref="B7:H7"/>
  </mergeCells>
  <conditionalFormatting sqref="P15:P21">
    <cfRule type="cellIs" dxfId="71" priority="9" stopIfTrue="1" operator="lessThan">
      <formula>0.005</formula>
    </cfRule>
  </conditionalFormatting>
  <pageMargins left="0.43307086614173229" right="0.31496062992125984" top="0.43307086614173229" bottom="0.62992125984251968" header="0.35433070866141736" footer="0.31496062992125984"/>
  <pageSetup paperSize="9" scale="9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extLst>
    <ext xmlns:x14="http://schemas.microsoft.com/office/spreadsheetml/2009/9/main" uri="{78C0D931-6437-407d-A8EE-F0AAD7539E65}">
      <x14:conditionalFormattings>
        <x14:conditionalFormatting xmlns:xm="http://schemas.microsoft.com/office/excel/2006/main">
          <x14:cfRule type="expression" priority="7" id="{E4C0776D-1916-4E57-877E-EE271A4E886D}">
            <xm:f>AND(Home!$C$8=FALSE,$D20&lt;&gt;"P C Sum",$D20&lt;&gt;"PC Sum",$D20&lt;&gt;"P Sum",$D20&lt;&gt;"Prov Sum")</xm:f>
            <x14:dxf>
              <font>
                <color theme="0"/>
              </font>
            </x14:dxf>
          </x14:cfRule>
          <xm:sqref>G20</xm:sqref>
        </x14:conditionalFormatting>
        <x14:conditionalFormatting xmlns:xm="http://schemas.microsoft.com/office/excel/2006/main">
          <x14:cfRule type="expression" priority="5" id="{43A76106-3EA3-48D8-AA3A-14BD508672D4}">
            <xm:f>AND(Home!$C$8=FALSE,$D16&lt;&gt;"P C Sum",$D16&lt;&gt;"PC Sum",$D16&lt;&gt;"P Sum",$D16&lt;&gt;"Prov Sum")</xm:f>
            <x14:dxf>
              <font>
                <color theme="0"/>
              </font>
            </x14:dxf>
          </x14:cfRule>
          <xm:sqref>G16:H16</xm:sqref>
        </x14:conditionalFormatting>
        <x14:conditionalFormatting xmlns:xm="http://schemas.microsoft.com/office/excel/2006/main">
          <x14:cfRule type="expression" priority="2" id="{00AC442B-C9D4-457A-837A-8087E97ACDE5}">
            <xm:f>AND(Home!$C$8=FALSE,$D24&lt;&gt;"P C Sum",$D24&lt;&gt;"PC Sum",$D24&lt;&gt;"P Sum",$D24&lt;&gt;"Prov Sum")</xm:f>
            <x14:dxf>
              <font>
                <color theme="0"/>
              </font>
            </x14:dxf>
          </x14:cfRule>
          <xm:sqref>G24:H24</xm:sqref>
        </x14:conditionalFormatting>
        <x14:conditionalFormatting xmlns:xm="http://schemas.microsoft.com/office/excel/2006/main">
          <x14:cfRule type="expression" priority="3" id="{653DC64D-383E-4A90-A2CA-1107BD5822D4}">
            <xm:f>AND(Home!$C$8=FALSE,$D19&lt;&gt;"P C Sum",$D19&lt;&gt;"PC Sum",$D19&lt;&gt;"P Sum",$D19&lt;&gt;"Prov Sum")</xm:f>
            <x14:dxf>
              <font>
                <color theme="0"/>
              </font>
            </x14:dxf>
          </x14:cfRule>
          <xm:sqref>H19:H20</xm:sqref>
        </x14:conditionalFormatting>
        <x14:conditionalFormatting xmlns:xm="http://schemas.microsoft.com/office/excel/2006/main">
          <x14:cfRule type="expression" priority="1" id="{9418483C-76EC-47DA-B740-0B2BA157573C}">
            <xm:f>AND(Home!$C$8=FALSE,$D26&lt;&gt;"P C Sum",$D26&lt;&gt;"PC Sum",$D26&lt;&gt;"P Sum",$D26&lt;&gt;"Prov Sum")</xm:f>
            <x14:dxf>
              <font>
                <color theme="0"/>
              </font>
            </x14:dxf>
          </x14:cfRule>
          <xm:sqref>H26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81</vt:i4>
      </vt:variant>
    </vt:vector>
  </HeadingPairs>
  <TitlesOfParts>
    <vt:vector size="107" baseType="lpstr">
      <vt:lpstr>Home</vt:lpstr>
      <vt:lpstr>1.2</vt:lpstr>
      <vt:lpstr>1.3</vt:lpstr>
      <vt:lpstr>1.4</vt:lpstr>
      <vt:lpstr>1.5</vt:lpstr>
      <vt:lpstr>2.1</vt:lpstr>
      <vt:lpstr>4.4</vt:lpstr>
      <vt:lpstr>5.1</vt:lpstr>
      <vt:lpstr>5.2</vt:lpstr>
      <vt:lpstr>5.3</vt:lpstr>
      <vt:lpstr>5.4</vt:lpstr>
      <vt:lpstr>6.2</vt:lpstr>
      <vt:lpstr>8.1</vt:lpstr>
      <vt:lpstr>10.1</vt:lpstr>
      <vt:lpstr>11.9</vt:lpstr>
      <vt:lpstr>13.8</vt:lpstr>
      <vt:lpstr>20.1</vt:lpstr>
      <vt:lpstr>PCS1.2.11</vt:lpstr>
      <vt:lpstr>A</vt:lpstr>
      <vt:lpstr>Sch D</vt:lpstr>
      <vt:lpstr>D</vt:lpstr>
      <vt:lpstr>Sch F</vt:lpstr>
      <vt:lpstr>F</vt:lpstr>
      <vt:lpstr>Sch G</vt:lpstr>
      <vt:lpstr>G</vt:lpstr>
      <vt:lpstr>Summary</vt:lpstr>
      <vt:lpstr>_Backfill</vt:lpstr>
      <vt:lpstr>_Benching</vt:lpstr>
      <vt:lpstr>_Brickwork</vt:lpstr>
      <vt:lpstr>_Clearing</vt:lpstr>
      <vt:lpstr>_Client1</vt:lpstr>
      <vt:lpstr>_Client2</vt:lpstr>
      <vt:lpstr>_ContractNo</vt:lpstr>
      <vt:lpstr>_ContractPeriod</vt:lpstr>
      <vt:lpstr>_Description</vt:lpstr>
      <vt:lpstr>_Excavation</vt:lpstr>
      <vt:lpstr>_Expansion</vt:lpstr>
      <vt:lpstr>_Formwork</vt:lpstr>
      <vt:lpstr>_Gabion</vt:lpstr>
      <vt:lpstr>_Geofabric</vt:lpstr>
      <vt:lpstr>_GPost</vt:lpstr>
      <vt:lpstr>_GRail</vt:lpstr>
      <vt:lpstr>_Haul</vt:lpstr>
      <vt:lpstr>_HaulPerMetre</vt:lpstr>
      <vt:lpstr>_KandC</vt:lpstr>
      <vt:lpstr>_Kerb</vt:lpstr>
      <vt:lpstr>_LabourDaily</vt:lpstr>
      <vt:lpstr>_LabourHours</vt:lpstr>
      <vt:lpstr>_LabourRate</vt:lpstr>
      <vt:lpstr>_Markup</vt:lpstr>
      <vt:lpstr>_Mesh</vt:lpstr>
      <vt:lpstr>_Mix</vt:lpstr>
      <vt:lpstr>_Place</vt:lpstr>
      <vt:lpstr>_Plaster</vt:lpstr>
      <vt:lpstr>_RoadLength</vt:lpstr>
      <vt:lpstr>_Roadmarkings</vt:lpstr>
      <vt:lpstr>_RoadstudSpc</vt:lpstr>
      <vt:lpstr>_Sheeting</vt:lpstr>
      <vt:lpstr>_Sign</vt:lpstr>
      <vt:lpstr>_Spread</vt:lpstr>
      <vt:lpstr>_Stamp</vt:lpstr>
      <vt:lpstr>_Subsoil</vt:lpstr>
      <vt:lpstr>_Summary</vt:lpstr>
      <vt:lpstr>_Wacker</vt:lpstr>
      <vt:lpstr>Page_A</vt:lpstr>
      <vt:lpstr>Page_D</vt:lpstr>
      <vt:lpstr>Page_F</vt:lpstr>
      <vt:lpstr>Page_G</vt:lpstr>
      <vt:lpstr>'1.2'!Print_Area</vt:lpstr>
      <vt:lpstr>'1.3'!Print_Area</vt:lpstr>
      <vt:lpstr>'1.4'!Print_Area</vt:lpstr>
      <vt:lpstr>'1.5'!Print_Area</vt:lpstr>
      <vt:lpstr>'10.1'!Print_Area</vt:lpstr>
      <vt:lpstr>'11.9'!Print_Area</vt:lpstr>
      <vt:lpstr>'13.8'!Print_Area</vt:lpstr>
      <vt:lpstr>'2.1'!Print_Area</vt:lpstr>
      <vt:lpstr>'20.1'!Print_Area</vt:lpstr>
      <vt:lpstr>'4.4'!Print_Area</vt:lpstr>
      <vt:lpstr>'5.1'!Print_Area</vt:lpstr>
      <vt:lpstr>'5.2'!Print_Area</vt:lpstr>
      <vt:lpstr>'5.3'!Print_Area</vt:lpstr>
      <vt:lpstr>'5.4'!Print_Area</vt:lpstr>
      <vt:lpstr>'6.2'!Print_Area</vt:lpstr>
      <vt:lpstr>'8.1'!Print_Area</vt:lpstr>
      <vt:lpstr>A!Print_Area</vt:lpstr>
      <vt:lpstr>D!Print_Area</vt:lpstr>
      <vt:lpstr>F!Print_Area</vt:lpstr>
      <vt:lpstr>G!Print_Area</vt:lpstr>
      <vt:lpstr>PCS1.2.11!Print_Area</vt:lpstr>
      <vt:lpstr>'Sch D'!Print_Area</vt:lpstr>
      <vt:lpstr>'Sch F'!Print_Area</vt:lpstr>
      <vt:lpstr>'Sch G'!Print_Area</vt:lpstr>
      <vt:lpstr>Summary!Print_Area</vt:lpstr>
      <vt:lpstr>'1.2'!Print_Titles</vt:lpstr>
      <vt:lpstr>'1.3'!Print_Titles</vt:lpstr>
      <vt:lpstr>'10.1'!Print_Titles</vt:lpstr>
      <vt:lpstr>'11.9'!Print_Titles</vt:lpstr>
      <vt:lpstr>'13.8'!Print_Titles</vt:lpstr>
      <vt:lpstr>'20.1'!Print_Titles</vt:lpstr>
      <vt:lpstr>'5.1'!Print_Titles</vt:lpstr>
      <vt:lpstr>'5.2'!Print_Titles</vt:lpstr>
      <vt:lpstr>'5.3'!Print_Titles</vt:lpstr>
      <vt:lpstr>'5.4'!Print_Titles</vt:lpstr>
      <vt:lpstr>'6.2'!Print_Titles</vt:lpstr>
      <vt:lpstr>'8.1'!Print_Titles</vt:lpstr>
      <vt:lpstr>'Sch D'!Print_Titles</vt:lpstr>
      <vt:lpstr>'Sch G'!Print_Titles</vt:lpstr>
    </vt:vector>
  </TitlesOfParts>
  <Company>Ninham Shand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Tjaart vd Walt</dc:creator>
  <cp:lastModifiedBy>Deveshan Govender</cp:lastModifiedBy>
  <cp:lastPrinted>2022-12-13T01:40:29Z</cp:lastPrinted>
  <dcterms:created xsi:type="dcterms:W3CDTF">2002-10-04T09:45:02Z</dcterms:created>
  <dcterms:modified xsi:type="dcterms:W3CDTF">2025-08-06T12:05:05Z</dcterms:modified>
</cp:coreProperties>
</file>